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1-12" sheetId="1" r:id="rId1"/>
    <sheet name="2010-11" sheetId="2" r:id="rId2"/>
    <sheet name="2009-10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Lalit</author>
    <author>TRACER</author>
    <author>Guest</author>
  </authors>
  <commentList>
    <comment ref="A13" authorId="0">
      <text>
        <r>
          <rPr>
            <sz val="8"/>
            <rFont val="Tahoma"/>
            <family val="0"/>
          </rPr>
          <t xml:space="preserve">Pay only in Pay Band
</t>
        </r>
      </text>
    </comment>
    <comment ref="G13" authorId="1">
      <text>
        <r>
          <rPr>
            <b/>
            <sz val="10"/>
            <color indexed="10"/>
            <rFont val="Tahoma"/>
            <family val="2"/>
          </rPr>
          <t>Added Annual Reegular Increment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2"/>
            <rFont val="Tahoma"/>
            <family val="2"/>
          </rPr>
          <t>If increment is not due, put the actual value</t>
        </r>
      </text>
    </comment>
    <comment ref="A14" authorId="0">
      <text>
        <r>
          <rPr>
            <sz val="8"/>
            <rFont val="Tahoma"/>
            <family val="0"/>
          </rPr>
          <t xml:space="preserve">Sum of </t>
        </r>
        <r>
          <rPr>
            <sz val="8"/>
            <color indexed="10"/>
            <rFont val="Tahoma"/>
            <family val="2"/>
          </rPr>
          <t>Band pay</t>
        </r>
        <r>
          <rPr>
            <sz val="8"/>
            <rFont val="Tahoma"/>
            <family val="0"/>
          </rPr>
          <t xml:space="preserve"> &amp; </t>
        </r>
        <r>
          <rPr>
            <sz val="8"/>
            <color indexed="10"/>
            <rFont val="Tahoma"/>
            <family val="2"/>
          </rPr>
          <t>Grade pay</t>
        </r>
        <r>
          <rPr>
            <sz val="8"/>
            <rFont val="Tahoma"/>
            <family val="0"/>
          </rPr>
          <t xml:space="preserve"> is Basic Pay.
</t>
        </r>
      </text>
    </comment>
    <comment ref="I16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sz val="8"/>
            <rFont val="Tahoma"/>
            <family val="0"/>
          </rPr>
          <t xml:space="preserve">Paid alongwith Regular salary
</t>
        </r>
      </text>
    </comment>
    <comment ref="A21" authorId="0">
      <text>
        <r>
          <rPr>
            <sz val="9"/>
            <rFont val="Tahoma"/>
            <family val="2"/>
          </rPr>
          <t>If you are a medical officer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sz val="10"/>
            <rFont val="Tahoma"/>
            <family val="2"/>
          </rPr>
          <t xml:space="preserve">Only for running staff
of Indian Railways.
</t>
        </r>
      </text>
    </comment>
    <comment ref="A33" authorId="0">
      <text>
        <r>
          <rPr>
            <sz val="8"/>
            <rFont val="Tahoma"/>
            <family val="0"/>
          </rPr>
          <t xml:space="preserve">Only for Regular Teaching Faculty
</t>
        </r>
      </text>
    </comment>
    <comment ref="A34" authorId="0">
      <text>
        <r>
          <rPr>
            <sz val="8"/>
            <rFont val="Tahoma"/>
            <family val="0"/>
          </rPr>
          <t xml:space="preserve">Medical Allowance above  Rs 15000 in a year is taxable. See col M79
.
</t>
        </r>
      </text>
    </comment>
    <comment ref="A39" authorId="0">
      <text>
        <r>
          <rPr>
            <sz val="8"/>
            <rFont val="Tahoma"/>
            <family val="0"/>
          </rPr>
          <t xml:space="preserve">Not paid with regular salary but paid separately.
</t>
        </r>
      </text>
    </comment>
    <comment ref="C61" authorId="0">
      <text>
        <r>
          <rPr>
            <sz val="8"/>
            <rFont val="Tahoma"/>
            <family val="0"/>
          </rPr>
          <t xml:space="preserve">70% Running Allowance of Running staff on I.Rly. is Tax Free
</t>
        </r>
      </text>
    </comment>
    <comment ref="A62" authorId="0">
      <text>
        <r>
          <rPr>
            <sz val="8"/>
            <rFont val="Tahoma"/>
            <family val="0"/>
          </rPr>
          <t xml:space="preserve">TR. Allowance above Rs 9600 p.a. is taxable.
</t>
        </r>
      </text>
    </comment>
    <comment ref="F62" authorId="1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15000(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0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15000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>pendent parents(Rs 20000 if Sr.Citizen)</t>
        </r>
      </text>
    </comment>
    <comment ref="C63" authorId="1">
      <text>
        <r>
          <rPr>
            <b/>
            <sz val="9"/>
            <color indexed="12"/>
            <rFont val="Tahoma"/>
            <family val="2"/>
          </rPr>
          <t>Income from other sources like Interest,
Short term /Long term Capital Gain etc.</t>
        </r>
        <r>
          <rPr>
            <sz val="8"/>
            <rFont val="Tahoma"/>
            <family val="0"/>
          </rPr>
          <t xml:space="preserve">
</t>
        </r>
      </text>
    </comment>
    <comment ref="F63" authorId="1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F64" authorId="1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C65" authorId="1">
      <text>
        <r>
          <rPr>
            <b/>
            <sz val="9"/>
            <color indexed="12"/>
            <rFont val="Tahoma"/>
            <family val="2"/>
          </rPr>
          <t xml:space="preserve">Total of PF,VPF,CGEIS &amp; HBA principal
</t>
        </r>
        <r>
          <rPr>
            <b/>
            <sz val="9"/>
            <color indexed="10"/>
            <rFont val="Tahoma"/>
            <family val="2"/>
          </rPr>
          <t xml:space="preserve">(deducted from salary) </t>
        </r>
      </text>
    </comment>
    <comment ref="F65" authorId="1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C66" authorId="1">
      <text>
        <r>
          <rPr>
            <b/>
            <sz val="9"/>
            <color indexed="12"/>
            <rFont val="Tahoma"/>
            <family val="2"/>
          </rPr>
          <t>LIC,PPF,Tuition Fees,NSC,Other Savings eligible for 80C,80CCC,80CCD,80CCF</t>
        </r>
        <r>
          <rPr>
            <sz val="8"/>
            <rFont val="Tahoma"/>
            <family val="0"/>
          </rPr>
          <t xml:space="preserve">
</t>
        </r>
      </text>
    </comment>
    <comment ref="F66" authorId="1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F67" authorId="1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 xml:space="preserve">Rs 24000.or 25% </t>
        </r>
        <r>
          <rPr>
            <sz val="9"/>
            <rFont val="Tahoma"/>
            <family val="2"/>
          </rPr>
          <t>of total income</t>
        </r>
        <r>
          <rPr>
            <sz val="9"/>
            <color indexed="10"/>
            <rFont val="Tahoma"/>
            <family val="2"/>
          </rPr>
          <t xml:space="preserve"> or actual rent paid in excess of 10% </t>
        </r>
        <r>
          <rPr>
            <sz val="9"/>
            <rFont val="Tahoma"/>
            <family val="2"/>
          </rPr>
          <t>of total income
Where HRA is received-Least of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or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OR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10(13A))</t>
        </r>
      </text>
    </comment>
    <comment ref="F68" authorId="1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C69" authorId="1">
      <text>
        <r>
          <rPr>
            <b/>
            <sz val="9"/>
            <color indexed="12"/>
            <rFont val="Tahoma"/>
            <family val="2"/>
          </rPr>
          <t xml:space="preserve">HBA loan interest on loan from Agency other than Deptt.
</t>
        </r>
      </text>
    </comment>
    <comment ref="F69" authorId="1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C70" authorId="1">
      <text>
        <r>
          <rPr>
            <b/>
            <sz val="9"/>
            <color indexed="12"/>
            <rFont val="Tahoma"/>
            <family val="2"/>
          </rPr>
          <t>HBA loan interest on loan from Deptt</t>
        </r>
      </text>
    </comment>
    <comment ref="F70" authorId="1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b/>
            <sz val="9"/>
            <color indexed="12"/>
            <rFont val="Tahoma"/>
            <family val="2"/>
          </rPr>
          <t>Eligible Deductions under other sections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sz val="8"/>
            <rFont val="Tahoma"/>
            <family val="0"/>
          </rPr>
          <t>Min of:
50% of Basic+DA
Actual HRA received
Rent paid minus10%of basic+Da</t>
        </r>
      </text>
    </comment>
    <comment ref="J71" authorId="1">
      <text>
        <r>
          <rPr>
            <b/>
            <sz val="9"/>
            <rFont val="Tahoma"/>
            <family val="2"/>
          </rPr>
          <t xml:space="preserve">
Deduction in respect of Contribution to certain pension funds.
 Max.eligibility limit </t>
        </r>
        <r>
          <rPr>
            <b/>
            <sz val="9"/>
            <color indexed="10"/>
            <rFont val="Tahoma"/>
            <family val="2"/>
          </rPr>
          <t>Rs 10,000.</t>
        </r>
        <r>
          <rPr>
            <b/>
            <sz val="9"/>
            <rFont val="Tahoma"/>
            <family val="2"/>
          </rPr>
          <t xml:space="preserve">
</t>
        </r>
      </text>
    </comment>
    <comment ref="J72" authorId="1">
      <text>
        <r>
          <rPr>
            <b/>
            <sz val="9"/>
            <rFont val="Tahoma"/>
            <family val="2"/>
          </rPr>
          <t>Contribution to pension scheme for Central Government employees.</t>
        </r>
        <r>
          <rPr>
            <sz val="8"/>
            <rFont val="Tahoma"/>
            <family val="0"/>
          </rPr>
          <t xml:space="preserve">
</t>
        </r>
      </text>
    </comment>
    <comment ref="J74" authorId="0">
      <text>
        <r>
          <rPr>
            <sz val="8"/>
            <rFont val="Tahoma"/>
            <family val="0"/>
          </rPr>
          <t xml:space="preserve">Under sec 80CCF Max Rs 20000
</t>
        </r>
      </text>
    </comment>
    <comment ref="F77" authorId="1">
      <text>
        <r>
          <rPr>
            <sz val="9"/>
            <rFont val="Tahoma"/>
            <family val="2"/>
          </rPr>
          <t>Annual Interest accrued  on HBA Loan amount if Loan is taken from Deptt.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F78" authorId="1">
      <text>
        <r>
          <rPr>
            <sz val="9"/>
            <rFont val="Tahoma"/>
            <family val="2"/>
          </rPr>
          <t>Annual Interest paid If Loan is taken  from any agency other than dept.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M79" authorId="0">
      <text>
        <r>
          <rPr>
            <sz val="8"/>
            <rFont val="Tahoma"/>
            <family val="0"/>
          </rPr>
          <t>Medical Allowance in excess of</t>
        </r>
        <r>
          <rPr>
            <b/>
            <sz val="8"/>
            <color indexed="12"/>
            <rFont val="Tahoma"/>
            <family val="2"/>
          </rPr>
          <t xml:space="preserve"> Rs 15000 in a year</t>
        </r>
        <r>
          <rPr>
            <sz val="8"/>
            <rFont val="Tahoma"/>
            <family val="0"/>
          </rPr>
          <t xml:space="preserve"> is taxable.
</t>
        </r>
      </text>
    </comment>
    <comment ref="A81" authorId="0">
      <text>
        <r>
          <rPr>
            <sz val="8"/>
            <rFont val="Tahoma"/>
            <family val="0"/>
          </rPr>
          <t xml:space="preserve">Tax deducted from salary &amp; at other sourcs
</t>
        </r>
      </text>
    </comment>
    <comment ref="F82" authorId="0">
      <text>
        <r>
          <rPr>
            <sz val="8"/>
            <rFont val="Tahoma"/>
            <family val="0"/>
          </rPr>
          <t xml:space="preserve">TAX deducted at other sources Except Salary
</t>
        </r>
      </text>
    </comment>
    <comment ref="B84" authorId="1">
      <text>
        <r>
          <rPr>
            <b/>
            <sz val="10"/>
            <color indexed="12"/>
            <rFont val="Tahoma"/>
            <family val="2"/>
          </rPr>
          <t>Balance PF amount on 01.04.2010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C84" authorId="2">
      <text>
        <r>
          <rPr>
            <sz val="11"/>
            <color indexed="12"/>
            <rFont val="Tahoma"/>
            <family val="2"/>
          </rPr>
          <t>PF+VPF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sz val="8"/>
            <rFont val="Tahoma"/>
            <family val="0"/>
          </rPr>
          <t xml:space="preserve">Enter Amount Of PF withdrawl during the Month
</t>
        </r>
      </text>
    </comment>
    <comment ref="B89" authorId="1">
      <text>
        <r>
          <rPr>
            <b/>
            <sz val="9"/>
            <color indexed="12"/>
            <rFont val="Tahoma"/>
            <family val="2"/>
          </rPr>
          <t>Balance PPF amount on 01.04.2010</t>
        </r>
        <r>
          <rPr>
            <sz val="8"/>
            <rFont val="Tahoma"/>
            <family val="0"/>
          </rPr>
          <t xml:space="preserve">
</t>
        </r>
      </text>
    </comment>
    <comment ref="C89" authorId="1">
      <text>
        <r>
          <rPr>
            <sz val="8"/>
            <rFont val="Tahoma"/>
            <family val="0"/>
          </rPr>
          <t xml:space="preserve">Enter Amount deposited during the month
</t>
        </r>
      </text>
    </comment>
    <comment ref="C90" authorId="0">
      <text>
        <r>
          <rPr>
            <sz val="8"/>
            <rFont val="Tahoma"/>
            <family val="0"/>
          </rPr>
          <t xml:space="preserve">Enter Amount withdrawn
during the month
</t>
        </r>
      </text>
    </comment>
    <comment ref="A44" authorId="0">
      <text>
        <r>
          <rPr>
            <sz val="8"/>
            <rFont val="Tahoma"/>
            <family val="0"/>
          </rPr>
          <t xml:space="preserve">Central Govt. Employees' Isurance Scheme.
</t>
        </r>
      </text>
    </comment>
  </commentList>
</comments>
</file>

<file path=xl/comments2.xml><?xml version="1.0" encoding="utf-8"?>
<comments xmlns="http://schemas.openxmlformats.org/spreadsheetml/2006/main">
  <authors>
    <author>Lalit</author>
    <author>TRACER</author>
    <author>Guest</author>
  </authors>
  <commentList>
    <comment ref="A13" authorId="0">
      <text>
        <r>
          <rPr>
            <sz val="8"/>
            <rFont val="Tahoma"/>
            <family val="0"/>
          </rPr>
          <t xml:space="preserve">Pay only in Pay Band
</t>
        </r>
      </text>
    </comment>
    <comment ref="G13" authorId="1">
      <text>
        <r>
          <rPr>
            <b/>
            <sz val="10"/>
            <color indexed="10"/>
            <rFont val="Tahoma"/>
            <family val="2"/>
          </rPr>
          <t>Added Annual Reegular Increment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2"/>
            <rFont val="Tahoma"/>
            <family val="2"/>
          </rPr>
          <t>If increment is not due, put the actual value</t>
        </r>
      </text>
    </comment>
    <comment ref="A14" authorId="0">
      <text>
        <r>
          <rPr>
            <sz val="8"/>
            <rFont val="Tahoma"/>
            <family val="0"/>
          </rPr>
          <t xml:space="preserve">Sum of </t>
        </r>
        <r>
          <rPr>
            <sz val="8"/>
            <color indexed="10"/>
            <rFont val="Tahoma"/>
            <family val="2"/>
          </rPr>
          <t>Band pay</t>
        </r>
        <r>
          <rPr>
            <sz val="8"/>
            <rFont val="Tahoma"/>
            <family val="0"/>
          </rPr>
          <t xml:space="preserve"> &amp; </t>
        </r>
        <r>
          <rPr>
            <sz val="8"/>
            <color indexed="10"/>
            <rFont val="Tahoma"/>
            <family val="2"/>
          </rPr>
          <t>Grade pay</t>
        </r>
        <r>
          <rPr>
            <sz val="8"/>
            <rFont val="Tahoma"/>
            <family val="0"/>
          </rPr>
          <t xml:space="preserve"> is Basic Pay.
</t>
        </r>
      </text>
    </comment>
    <comment ref="I16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sz val="8"/>
            <rFont val="Tahoma"/>
            <family val="0"/>
          </rPr>
          <t xml:space="preserve">Paid alongwith Regular salary
</t>
        </r>
      </text>
    </comment>
    <comment ref="A21" authorId="0">
      <text>
        <r>
          <rPr>
            <sz val="9"/>
            <rFont val="Tahoma"/>
            <family val="2"/>
          </rPr>
          <t>If you are a medical officer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sz val="10"/>
            <rFont val="Tahoma"/>
            <family val="2"/>
          </rPr>
          <t xml:space="preserve">Only for running staff
of Indian Railways.
</t>
        </r>
      </text>
    </comment>
    <comment ref="A33" authorId="0">
      <text>
        <r>
          <rPr>
            <sz val="8"/>
            <rFont val="Tahoma"/>
            <family val="0"/>
          </rPr>
          <t xml:space="preserve">Only for Regular Teaching Faculty
</t>
        </r>
      </text>
    </comment>
    <comment ref="A34" authorId="0">
      <text>
        <r>
          <rPr>
            <sz val="8"/>
            <rFont val="Tahoma"/>
            <family val="0"/>
          </rPr>
          <t xml:space="preserve">Medical Allowance above  Rs 15000 in a year is taxable. See col M79
.
</t>
        </r>
      </text>
    </comment>
    <comment ref="A39" authorId="0">
      <text>
        <r>
          <rPr>
            <sz val="8"/>
            <rFont val="Tahoma"/>
            <family val="0"/>
          </rPr>
          <t xml:space="preserve">Not paid with regular salary but paid separately.
</t>
        </r>
      </text>
    </comment>
    <comment ref="C61" authorId="0">
      <text>
        <r>
          <rPr>
            <sz val="8"/>
            <rFont val="Tahoma"/>
            <family val="0"/>
          </rPr>
          <t xml:space="preserve">70% Running Allowance of Running staff on I.Rly. is Tax Free
</t>
        </r>
      </text>
    </comment>
    <comment ref="A62" authorId="0">
      <text>
        <r>
          <rPr>
            <sz val="8"/>
            <rFont val="Tahoma"/>
            <family val="0"/>
          </rPr>
          <t xml:space="preserve">TR. Allowance above Rs 9600 p.a. is taxable.
</t>
        </r>
      </text>
    </comment>
    <comment ref="F62" authorId="1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15000(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0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15000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>pendent parents(Rs 20000 if Sr.Citizen)</t>
        </r>
      </text>
    </comment>
    <comment ref="C63" authorId="1">
      <text>
        <r>
          <rPr>
            <b/>
            <sz val="9"/>
            <color indexed="12"/>
            <rFont val="Tahoma"/>
            <family val="2"/>
          </rPr>
          <t>Income from other sources like Interest,
Short term /Long term Capital Gain etc.</t>
        </r>
        <r>
          <rPr>
            <sz val="8"/>
            <rFont val="Tahoma"/>
            <family val="0"/>
          </rPr>
          <t xml:space="preserve">
</t>
        </r>
      </text>
    </comment>
    <comment ref="F63" authorId="1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F64" authorId="1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C65" authorId="1">
      <text>
        <r>
          <rPr>
            <b/>
            <sz val="9"/>
            <color indexed="12"/>
            <rFont val="Tahoma"/>
            <family val="2"/>
          </rPr>
          <t xml:space="preserve">Total of PF,VPF,CGEIS &amp; HBA principal
</t>
        </r>
        <r>
          <rPr>
            <b/>
            <sz val="9"/>
            <color indexed="10"/>
            <rFont val="Tahoma"/>
            <family val="2"/>
          </rPr>
          <t xml:space="preserve">(deducted from salary) </t>
        </r>
      </text>
    </comment>
    <comment ref="F65" authorId="1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C66" authorId="1">
      <text>
        <r>
          <rPr>
            <b/>
            <sz val="9"/>
            <color indexed="12"/>
            <rFont val="Tahoma"/>
            <family val="2"/>
          </rPr>
          <t>LIC,PPF,Tuition Fees,NSC,Other Savings eligible for 80C,80CCC,80CCD,80CCF</t>
        </r>
        <r>
          <rPr>
            <sz val="8"/>
            <rFont val="Tahoma"/>
            <family val="0"/>
          </rPr>
          <t xml:space="preserve">
</t>
        </r>
      </text>
    </comment>
    <comment ref="F66" authorId="1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F67" authorId="1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 xml:space="preserve">Rs 24000.or 25% </t>
        </r>
        <r>
          <rPr>
            <sz val="9"/>
            <rFont val="Tahoma"/>
            <family val="2"/>
          </rPr>
          <t>of total income</t>
        </r>
        <r>
          <rPr>
            <sz val="9"/>
            <color indexed="10"/>
            <rFont val="Tahoma"/>
            <family val="2"/>
          </rPr>
          <t xml:space="preserve"> or actual rent paid in excess of 10% </t>
        </r>
        <r>
          <rPr>
            <sz val="9"/>
            <rFont val="Tahoma"/>
            <family val="2"/>
          </rPr>
          <t>of total income
Where HRA is received-Least of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or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OR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10(13A))</t>
        </r>
      </text>
    </comment>
    <comment ref="F68" authorId="1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C69" authorId="1">
      <text>
        <r>
          <rPr>
            <b/>
            <sz val="9"/>
            <color indexed="12"/>
            <rFont val="Tahoma"/>
            <family val="2"/>
          </rPr>
          <t xml:space="preserve">HBA loan interest on loan from Agency other than Deptt.
</t>
        </r>
      </text>
    </comment>
    <comment ref="F69" authorId="1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C70" authorId="1">
      <text>
        <r>
          <rPr>
            <b/>
            <sz val="9"/>
            <color indexed="12"/>
            <rFont val="Tahoma"/>
            <family val="2"/>
          </rPr>
          <t>HBA loan interest on loan from Deptt</t>
        </r>
      </text>
    </comment>
    <comment ref="F70" authorId="1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b/>
            <sz val="9"/>
            <color indexed="12"/>
            <rFont val="Tahoma"/>
            <family val="2"/>
          </rPr>
          <t>Eligible Deductions under other sections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sz val="8"/>
            <rFont val="Tahoma"/>
            <family val="0"/>
          </rPr>
          <t>Min of:
50% of Basic+DA
Actual HRA received
Rent paid minus10%of basic+Da</t>
        </r>
      </text>
    </comment>
    <comment ref="J71" authorId="1">
      <text>
        <r>
          <rPr>
            <b/>
            <sz val="9"/>
            <rFont val="Tahoma"/>
            <family val="2"/>
          </rPr>
          <t xml:space="preserve">
Deduction in respect of Contribution to certain pension funds.
 Max.eligibility limit </t>
        </r>
        <r>
          <rPr>
            <b/>
            <sz val="9"/>
            <color indexed="10"/>
            <rFont val="Tahoma"/>
            <family val="2"/>
          </rPr>
          <t>Rs 10,000.</t>
        </r>
        <r>
          <rPr>
            <b/>
            <sz val="9"/>
            <rFont val="Tahoma"/>
            <family val="2"/>
          </rPr>
          <t xml:space="preserve">
</t>
        </r>
      </text>
    </comment>
    <comment ref="J72" authorId="1">
      <text>
        <r>
          <rPr>
            <b/>
            <sz val="9"/>
            <rFont val="Tahoma"/>
            <family val="2"/>
          </rPr>
          <t>Contribution to pension scheme for Central Government employees.</t>
        </r>
        <r>
          <rPr>
            <sz val="8"/>
            <rFont val="Tahoma"/>
            <family val="0"/>
          </rPr>
          <t xml:space="preserve">
</t>
        </r>
      </text>
    </comment>
    <comment ref="J74" authorId="0">
      <text>
        <r>
          <rPr>
            <sz val="8"/>
            <rFont val="Tahoma"/>
            <family val="0"/>
          </rPr>
          <t xml:space="preserve">Under sec 80CCF Max Rs 20000
</t>
        </r>
      </text>
    </comment>
    <comment ref="F77" authorId="1">
      <text>
        <r>
          <rPr>
            <sz val="9"/>
            <rFont val="Tahoma"/>
            <family val="2"/>
          </rPr>
          <t>Annual Interest accrued  on HBA Loan amount if Loan is taken from Deptt.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F78" authorId="1">
      <text>
        <r>
          <rPr>
            <sz val="9"/>
            <rFont val="Tahoma"/>
            <family val="2"/>
          </rPr>
          <t>Annual Interest paid If Loan is taken  from any agency other than dept.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M79" authorId="0">
      <text>
        <r>
          <rPr>
            <sz val="8"/>
            <rFont val="Tahoma"/>
            <family val="0"/>
          </rPr>
          <t>Medical Allowance in excess of</t>
        </r>
        <r>
          <rPr>
            <b/>
            <sz val="8"/>
            <color indexed="12"/>
            <rFont val="Tahoma"/>
            <family val="2"/>
          </rPr>
          <t xml:space="preserve"> Rs 15000 in a year</t>
        </r>
        <r>
          <rPr>
            <sz val="8"/>
            <rFont val="Tahoma"/>
            <family val="0"/>
          </rPr>
          <t xml:space="preserve"> is taxable.
</t>
        </r>
      </text>
    </comment>
    <comment ref="A81" authorId="0">
      <text>
        <r>
          <rPr>
            <sz val="8"/>
            <rFont val="Tahoma"/>
            <family val="0"/>
          </rPr>
          <t xml:space="preserve">Tax deducted from salary &amp; at other sourcs
</t>
        </r>
      </text>
    </comment>
    <comment ref="F82" authorId="0">
      <text>
        <r>
          <rPr>
            <sz val="8"/>
            <rFont val="Tahoma"/>
            <family val="0"/>
          </rPr>
          <t xml:space="preserve">TAX deducted at other sources Except Salary
</t>
        </r>
      </text>
    </comment>
    <comment ref="B84" authorId="1">
      <text>
        <r>
          <rPr>
            <b/>
            <sz val="10"/>
            <color indexed="12"/>
            <rFont val="Tahoma"/>
            <family val="2"/>
          </rPr>
          <t>Balance PF amount on 01.04.2010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C84" authorId="2">
      <text>
        <r>
          <rPr>
            <sz val="11"/>
            <color indexed="12"/>
            <rFont val="Tahoma"/>
            <family val="2"/>
          </rPr>
          <t>PF+VPF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sz val="8"/>
            <rFont val="Tahoma"/>
            <family val="0"/>
          </rPr>
          <t xml:space="preserve">Enter Amount Of PF withdrawl during the Month
</t>
        </r>
      </text>
    </comment>
    <comment ref="B89" authorId="1">
      <text>
        <r>
          <rPr>
            <b/>
            <sz val="9"/>
            <color indexed="12"/>
            <rFont val="Tahoma"/>
            <family val="2"/>
          </rPr>
          <t>Balance PPF amount on 01.04.2010</t>
        </r>
        <r>
          <rPr>
            <sz val="8"/>
            <rFont val="Tahoma"/>
            <family val="0"/>
          </rPr>
          <t xml:space="preserve">
</t>
        </r>
      </text>
    </comment>
    <comment ref="C89" authorId="1">
      <text>
        <r>
          <rPr>
            <sz val="8"/>
            <rFont val="Tahoma"/>
            <family val="0"/>
          </rPr>
          <t xml:space="preserve">Enter Amount deposited during the month
</t>
        </r>
      </text>
    </comment>
    <comment ref="C90" authorId="0">
      <text>
        <r>
          <rPr>
            <sz val="8"/>
            <rFont val="Tahoma"/>
            <family val="0"/>
          </rPr>
          <t xml:space="preserve">Enter Amount withdrawn
during the month
</t>
        </r>
      </text>
    </comment>
  </commentList>
</comments>
</file>

<file path=xl/comments3.xml><?xml version="1.0" encoding="utf-8"?>
<comments xmlns="http://schemas.openxmlformats.org/spreadsheetml/2006/main">
  <authors>
    <author>TRACER</author>
    <author>Lalit</author>
    <author>Guest</author>
  </authors>
  <commentList>
    <comment ref="G10" authorId="0">
      <text>
        <r>
          <rPr>
            <b/>
            <sz val="10"/>
            <color indexed="10"/>
            <rFont val="Tahoma"/>
            <family val="2"/>
          </rPr>
          <t>Added Annual Reegular Increment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2"/>
            <rFont val="Tahoma"/>
            <family val="2"/>
          </rPr>
          <t>If increment is not due, put the actual value</t>
        </r>
      </text>
    </comment>
    <comment ref="I13" authorId="0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2"/>
          </rPr>
          <t>Revise DA When Notified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sz val="8"/>
            <rFont val="Tahoma"/>
            <family val="0"/>
          </rPr>
          <t xml:space="preserve">Revise in Jan.
</t>
        </r>
      </text>
    </comment>
    <comment ref="A18" authorId="1">
      <text>
        <r>
          <rPr>
            <sz val="9"/>
            <rFont val="Tahoma"/>
            <family val="2"/>
          </rPr>
          <t>If you are a medical officer</t>
        </r>
        <r>
          <rPr>
            <sz val="8"/>
            <rFont val="Tahoma"/>
            <family val="0"/>
          </rPr>
          <t xml:space="preserve">
</t>
        </r>
      </text>
    </comment>
    <comment ref="A19" authorId="1">
      <text>
        <r>
          <rPr>
            <sz val="10"/>
            <rFont val="Tahoma"/>
            <family val="2"/>
          </rPr>
          <t xml:space="preserve">If you are a running staff
</t>
        </r>
      </text>
    </comment>
    <comment ref="F48" authorId="0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15000(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0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15000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>pendent parents(Rs 20000 if Sr.Citizen)</t>
        </r>
      </text>
    </comment>
    <comment ref="C49" authorId="0">
      <text>
        <r>
          <rPr>
            <b/>
            <sz val="9"/>
            <color indexed="12"/>
            <rFont val="Tahoma"/>
            <family val="2"/>
          </rPr>
          <t>Income from other sources like Interest,
Short term /Long term Capital Gain etc.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sz val="9"/>
            <rFont val="Tahoma"/>
            <family val="2"/>
          </rPr>
          <t xml:space="preserve">Expenditure for medical  treatment for dependent relative.-Max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sz val="9"/>
            <rFont val="Tahoma"/>
            <family val="2"/>
          </rPr>
          <t xml:space="preserve">Medical Expenditure for specified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sz val="9"/>
            <rFont val="Tahoma"/>
            <family val="2"/>
          </rPr>
          <t>Total of HBA( principal), PF, VPF ang CGEIS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9"/>
            <color indexed="12"/>
            <rFont val="Tahoma"/>
            <family val="2"/>
          </rPr>
          <t>Total of PF,VPF,CGEIS
&amp;HBA Principal</t>
        </r>
        <r>
          <rPr>
            <b/>
            <sz val="9"/>
            <color indexed="10"/>
            <rFont val="Tahoma"/>
            <family val="2"/>
          </rPr>
          <t>(Paid from salary)</t>
        </r>
      </text>
    </comment>
    <comment ref="F51" authorId="0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9"/>
            <color indexed="12"/>
            <rFont val="Tahoma"/>
            <family val="2"/>
          </rPr>
          <t>LIC,PPF,Tuition Fees,NSC,Other Savings eligible for 80C.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9"/>
            <color indexed="12"/>
            <rFont val="Tahoma"/>
            <family val="2"/>
          </rPr>
          <t xml:space="preserve">SUM of all savings under Sec 80 C 
</t>
        </r>
        <r>
          <rPr>
            <b/>
            <sz val="9"/>
            <color indexed="10"/>
            <rFont val="Tahoma"/>
            <family val="2"/>
          </rPr>
          <t>Max. Limit Rs 1,00,000.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>Rs 24000.</t>
        </r>
        <r>
          <rPr>
            <sz val="9"/>
            <rFont val="Tahoma"/>
            <family val="2"/>
          </rPr>
          <t xml:space="preserve">
Where HRA is received-Least of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pay(</t>
        </r>
        <r>
          <rPr>
            <sz val="9"/>
            <color indexed="10"/>
            <rFont val="Tahoma"/>
            <family val="2"/>
          </rPr>
          <t xml:space="preserve">40% </t>
        </r>
        <r>
          <rPr>
            <sz val="9"/>
            <rFont val="Tahoma"/>
            <family val="2"/>
          </rPr>
          <t xml:space="preserve">in non metro cities) or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OR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</text>
    </comment>
    <comment ref="F54" authorId="0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9"/>
            <color indexed="12"/>
            <rFont val="Tahoma"/>
            <family val="2"/>
          </rPr>
          <t xml:space="preserve">HBA loan interest on loan from Agency other than Deptt.
</t>
        </r>
      </text>
    </comment>
    <comment ref="F55" authorId="0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9"/>
            <color indexed="12"/>
            <rFont val="Tahoma"/>
            <family val="2"/>
          </rPr>
          <t>HBA loan interest on loan from Deptt</t>
        </r>
      </text>
    </comment>
    <comment ref="F56" authorId="0">
      <text>
        <r>
          <rPr>
            <sz val="9"/>
            <rFont val="Tahoma"/>
            <family val="2"/>
          </rPr>
          <t>Deduction for handicapped person.Max-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75000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9"/>
            <color indexed="12"/>
            <rFont val="Tahoma"/>
            <family val="2"/>
          </rPr>
          <t>Eligible Deductions under other sections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9"/>
            <rFont val="Tahoma"/>
            <family val="2"/>
          </rPr>
          <t xml:space="preserve">
Deduction in respect of Contribution to certain pension funds.
 Max.eligibility limit </t>
        </r>
        <r>
          <rPr>
            <b/>
            <sz val="9"/>
            <color indexed="10"/>
            <rFont val="Tahoma"/>
            <family val="2"/>
          </rPr>
          <t>Rs 10,000.</t>
        </r>
        <r>
          <rPr>
            <b/>
            <sz val="9"/>
            <rFont val="Tahoma"/>
            <family val="2"/>
          </rPr>
          <t xml:space="preserve">
</t>
        </r>
      </text>
    </comment>
    <comment ref="J59" authorId="0">
      <text>
        <r>
          <rPr>
            <sz val="9"/>
            <rFont val="Tahoma"/>
            <family val="2"/>
          </rPr>
          <t>Contribution to pension scheme for Central Government employees.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sz val="9"/>
            <rFont val="Tahoma"/>
            <family val="2"/>
          </rPr>
          <t xml:space="preserve">Annual Interest accrued  on HBA Loan amount if Loan is taken from Deptt.
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F64" authorId="0">
      <text>
        <r>
          <rPr>
            <sz val="9"/>
            <rFont val="Tahoma"/>
            <family val="2"/>
          </rPr>
          <t xml:space="preserve">Annual Interest paid If Loan is taken  from any agency other than dept.
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M65" authorId="1">
      <text>
        <r>
          <rPr>
            <b/>
            <sz val="10"/>
            <rFont val="Tahoma"/>
            <family val="2"/>
          </rPr>
          <t xml:space="preserve">Medical Allowance in excess of </t>
        </r>
        <r>
          <rPr>
            <b/>
            <sz val="10"/>
            <color indexed="10"/>
            <rFont val="Tahoma"/>
            <family val="2"/>
          </rPr>
          <t>Rs 15000</t>
        </r>
        <r>
          <rPr>
            <b/>
            <sz val="10"/>
            <rFont val="Tahoma"/>
            <family val="2"/>
          </rPr>
          <t xml:space="preserve"> is Taxable</t>
        </r>
        <r>
          <rPr>
            <sz val="8"/>
            <rFont val="Tahoma"/>
            <family val="0"/>
          </rPr>
          <t xml:space="preserve">
</t>
        </r>
      </text>
    </comment>
    <comment ref="B70" authorId="0">
      <text>
        <r>
          <rPr>
            <b/>
            <sz val="10"/>
            <color indexed="12"/>
            <rFont val="Tahoma"/>
            <family val="2"/>
          </rPr>
          <t>Balance PF amount on 01.04.2009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C70" authorId="2">
      <text>
        <r>
          <rPr>
            <sz val="11"/>
            <color indexed="12"/>
            <rFont val="Tahoma"/>
            <family val="2"/>
          </rPr>
          <t>PF+VPF</t>
        </r>
        <r>
          <rPr>
            <sz val="8"/>
            <rFont val="Tahoma"/>
            <family val="0"/>
          </rPr>
          <t xml:space="preserve">
</t>
        </r>
      </text>
    </comment>
    <comment ref="B75" authorId="0">
      <text>
        <r>
          <rPr>
            <b/>
            <sz val="9"/>
            <color indexed="12"/>
            <rFont val="Tahoma"/>
            <family val="2"/>
          </rPr>
          <t>Balance PPF amount on 01.04.2009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9"/>
            <color indexed="12"/>
            <rFont val="Tahoma"/>
            <family val="2"/>
          </rPr>
          <t>PPF Contribution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<sst xmlns="http://schemas.openxmlformats.org/spreadsheetml/2006/main" count="502" uniqueCount="230">
  <si>
    <r>
      <t>SALARY &amp; INCOME TAX - F.Y. 2010-11</t>
    </r>
    <r>
      <rPr>
        <b/>
        <sz val="10"/>
        <color indexed="16"/>
        <rFont val="Arial"/>
        <family val="2"/>
      </rPr>
      <t>(For Central Govt.Employees)</t>
    </r>
  </si>
  <si>
    <r>
      <t>Notes</t>
    </r>
    <r>
      <rPr>
        <b/>
        <i/>
        <sz val="9"/>
        <color indexed="17"/>
        <rFont val="Arial"/>
        <family val="2"/>
      </rPr>
      <t>:Verify the ceiling limits of various deductions with latest IT rules</t>
    </r>
  </si>
  <si>
    <r>
      <t xml:space="preserve">All you have to do is fill in required DATA in </t>
    </r>
    <r>
      <rPr>
        <b/>
        <i/>
        <sz val="9"/>
        <color indexed="52"/>
        <rFont val="Arial"/>
        <family val="2"/>
      </rPr>
      <t>YELLOW</t>
    </r>
    <r>
      <rPr>
        <b/>
        <i/>
        <sz val="9"/>
        <color indexed="52"/>
        <rFont val="Draft 12cpi"/>
        <family val="0"/>
      </rPr>
      <t xml:space="preserve"> BOXES</t>
    </r>
    <r>
      <rPr>
        <b/>
        <i/>
        <sz val="9"/>
        <color indexed="17"/>
        <rFont val="Draft 12cpi"/>
        <family val="3"/>
      </rPr>
      <t xml:space="preserve"> only.</t>
    </r>
  </si>
  <si>
    <t xml:space="preserve">            Do not double click yellow boxes, just click once and enter the figure.</t>
  </si>
  <si>
    <r>
      <t>White  boxes AUTOMATICALLY</t>
    </r>
    <r>
      <rPr>
        <b/>
        <sz val="8"/>
        <color indexed="17"/>
        <rFont val="Arial"/>
        <family val="2"/>
      </rPr>
      <t xml:space="preserve"> calculate</t>
    </r>
  </si>
  <si>
    <t xml:space="preserve">            Do not DELETE any number,put a 0 if you want to start over.</t>
  </si>
  <si>
    <t>Be sure to save  this sheet as a blank template before you fill it out.</t>
  </si>
  <si>
    <t xml:space="preserve">NAME: </t>
  </si>
  <si>
    <t xml:space="preserve">  Below 65 Years</t>
  </si>
  <si>
    <t>If your template no longer works ,down load a new template.</t>
  </si>
  <si>
    <r>
      <t>In case of promotion,  fill in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0"/>
        <rFont val="Times New Roman"/>
        <family val="1"/>
      </rPr>
      <t>REVISED BAND PAY</t>
    </r>
    <r>
      <rPr>
        <b/>
        <sz val="9"/>
        <color indexed="12"/>
        <rFont val="Times New Roman"/>
        <family val="1"/>
      </rPr>
      <t xml:space="preserve"> &amp;  </t>
    </r>
    <r>
      <rPr>
        <b/>
        <sz val="9"/>
        <color indexed="10"/>
        <rFont val="Times New Roman"/>
        <family val="1"/>
      </rPr>
      <t>GRADE PAY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Arial"/>
        <family val="2"/>
      </rPr>
      <t>in respective Boxes.</t>
    </r>
  </si>
  <si>
    <t>Use blank boxes in Salary &amp; Deductions for additional heads.</t>
  </si>
  <si>
    <r>
      <t xml:space="preserve">For Transportation Allowance :                                         </t>
    </r>
    <r>
      <rPr>
        <b/>
        <sz val="10"/>
        <color indexed="10"/>
        <rFont val="Arial"/>
        <family val="2"/>
      </rPr>
      <t>1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 xml:space="preserve">For A1 /A Class cities , </t>
    </r>
    <r>
      <rPr>
        <b/>
        <sz val="10"/>
        <color indexed="10"/>
        <rFont val="Arial"/>
        <family val="2"/>
      </rPr>
      <t xml:space="preserve"> 2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>For other cities.</t>
    </r>
  </si>
  <si>
    <r>
      <t>For HRA</t>
    </r>
    <r>
      <rPr>
        <b/>
        <sz val="8"/>
        <color indexed="12"/>
        <rFont val="Times New Roman"/>
        <family val="1"/>
      </rPr>
      <t xml:space="preserve"> : </t>
    </r>
    <r>
      <rPr>
        <b/>
        <sz val="9"/>
        <color indexed="12"/>
        <rFont val="Times New Roman"/>
        <family val="1"/>
      </rPr>
      <t>Are you allotted a Govt. accommodation</t>
    </r>
    <r>
      <rPr>
        <b/>
        <sz val="8"/>
        <color indexed="12"/>
        <rFont val="Times New Roman"/>
        <family val="1"/>
      </rPr>
      <t xml:space="preserve">- </t>
    </r>
    <r>
      <rPr>
        <b/>
        <sz val="8"/>
        <color indexed="17"/>
        <rFont val="Times New Roman"/>
        <family val="1"/>
      </rPr>
      <t>If YES</t>
    </r>
    <r>
      <rPr>
        <b/>
        <sz val="8"/>
        <color indexed="12"/>
        <rFont val="Times New Roman"/>
        <family val="1"/>
      </rPr>
      <t xml:space="preserve">-  </t>
    </r>
    <r>
      <rPr>
        <b/>
        <sz val="8"/>
        <color indexed="10"/>
        <rFont val="Times New Roman"/>
        <family val="1"/>
      </rPr>
      <t>0</t>
    </r>
    <r>
      <rPr>
        <b/>
        <sz val="8"/>
        <color indexed="12"/>
        <rFont val="Times New Roman"/>
        <family val="1"/>
      </rPr>
      <t xml:space="preserve">, </t>
    </r>
    <r>
      <rPr>
        <b/>
        <sz val="8"/>
        <color indexed="17"/>
        <rFont val="Times New Roman"/>
        <family val="1"/>
      </rPr>
      <t xml:space="preserve">If NO </t>
    </r>
    <r>
      <rPr>
        <b/>
        <sz val="8"/>
        <color indexed="12"/>
        <rFont val="Times New Roman"/>
        <family val="1"/>
      </rPr>
      <t xml:space="preserve">- </t>
    </r>
    <r>
      <rPr>
        <b/>
        <sz val="8"/>
        <color indexed="10"/>
        <rFont val="Times New Roman"/>
        <family val="1"/>
      </rPr>
      <t xml:space="preserve">1  </t>
    </r>
    <r>
      <rPr>
        <b/>
        <sz val="8"/>
        <color indexed="12"/>
        <rFont val="Times New Roman"/>
        <family val="1"/>
      </rPr>
      <t xml:space="preserve">for X (A1) class, </t>
    </r>
    <r>
      <rPr>
        <b/>
        <sz val="8"/>
        <color indexed="10"/>
        <rFont val="Times New Roman"/>
        <family val="1"/>
      </rPr>
      <t xml:space="preserve">2  </t>
    </r>
    <r>
      <rPr>
        <b/>
        <sz val="8"/>
        <color indexed="12"/>
        <rFont val="Times New Roman"/>
        <family val="1"/>
      </rPr>
      <t xml:space="preserve">for Y (A,B1,B2) class &amp; </t>
    </r>
    <r>
      <rPr>
        <b/>
        <sz val="8"/>
        <color indexed="10"/>
        <rFont val="Times New Roman"/>
        <family val="1"/>
      </rPr>
      <t xml:space="preserve">3 </t>
    </r>
    <r>
      <rPr>
        <b/>
        <sz val="8"/>
        <color indexed="12"/>
        <rFont val="Times New Roman"/>
        <family val="1"/>
      </rPr>
      <t xml:space="preserve"> for Z (C/other) class cities. </t>
    </r>
  </si>
  <si>
    <r>
      <t xml:space="preserve">SEX </t>
    </r>
    <r>
      <rPr>
        <b/>
        <sz val="8"/>
        <color indexed="12"/>
        <rFont val="Times New Roman"/>
        <family val="1"/>
      </rPr>
      <t xml:space="preserve">- :                                                                                   </t>
    </r>
    <r>
      <rPr>
        <b/>
        <sz val="9"/>
        <color indexed="10"/>
        <rFont val="Times New Roman"/>
        <family val="1"/>
      </rPr>
      <t>1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2"/>
        <rFont val="Times New Roman"/>
        <family val="1"/>
      </rPr>
      <t xml:space="preserve"> For MALE </t>
    </r>
    <r>
      <rPr>
        <b/>
        <sz val="8"/>
        <color indexed="10"/>
        <rFont val="Times New Roman"/>
        <family val="1"/>
      </rPr>
      <t xml:space="preserve">,  </t>
    </r>
    <r>
      <rPr>
        <b/>
        <sz val="9"/>
        <color indexed="10"/>
        <rFont val="Times New Roman"/>
        <family val="1"/>
      </rPr>
      <t>2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>For  FEMALE</t>
    </r>
    <r>
      <rPr>
        <b/>
        <sz val="8"/>
        <color indexed="10"/>
        <rFont val="Times New Roman"/>
        <family val="1"/>
      </rPr>
      <t xml:space="preserve">  </t>
    </r>
  </si>
  <si>
    <t>Are you an ex-cadre Teaching Faculty- REGULAR :</t>
  </si>
  <si>
    <r>
      <t>If NO-</t>
    </r>
    <r>
      <rPr>
        <b/>
        <sz val="9"/>
        <color indexed="10"/>
        <rFont val="Times New Roman"/>
        <family val="1"/>
      </rPr>
      <t xml:space="preserve"> 0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7"/>
        <rFont val="Times New Roman"/>
        <family val="1"/>
      </rPr>
      <t>, If YES</t>
    </r>
    <r>
      <rPr>
        <b/>
        <sz val="8"/>
        <color indexed="12"/>
        <rFont val="Times New Roman"/>
        <family val="1"/>
      </rPr>
      <t xml:space="preserve"> - </t>
    </r>
    <r>
      <rPr>
        <b/>
        <sz val="9"/>
        <color indexed="10"/>
        <rFont val="Times New Roman"/>
        <family val="1"/>
      </rPr>
      <t>1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 xml:space="preserve">for Centralised Institute, </t>
    </r>
    <r>
      <rPr>
        <b/>
        <sz val="8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2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>for other Institute</t>
    </r>
  </si>
  <si>
    <t>Are you a Medical Officer:</t>
  </si>
  <si>
    <r>
      <t xml:space="preserve">If NO - </t>
    </r>
    <r>
      <rPr>
        <b/>
        <sz val="8"/>
        <color indexed="10"/>
        <rFont val="Times New Roman"/>
        <family val="1"/>
      </rPr>
      <t>0</t>
    </r>
    <r>
      <rPr>
        <b/>
        <sz val="8"/>
        <color indexed="17"/>
        <rFont val="Times New Roman"/>
        <family val="1"/>
      </rPr>
      <t xml:space="preserve"> , If YES - 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7"/>
        <rFont val="Times New Roman"/>
        <family val="1"/>
      </rPr>
      <t xml:space="preserve"> .</t>
    </r>
  </si>
  <si>
    <r>
      <t>SALARY</t>
    </r>
    <r>
      <rPr>
        <sz val="10"/>
        <color indexed="10"/>
        <rFont val="Arial"/>
        <family val="2"/>
      </rPr>
      <t xml:space="preserve"> </t>
    </r>
  </si>
  <si>
    <t>MAR'10</t>
  </si>
  <si>
    <t>APR'10</t>
  </si>
  <si>
    <t>MAY'10</t>
  </si>
  <si>
    <t>JUN'10</t>
  </si>
  <si>
    <t>JUL'10</t>
  </si>
  <si>
    <t>AUG'10</t>
  </si>
  <si>
    <t>SEP'10</t>
  </si>
  <si>
    <t>OCT'10</t>
  </si>
  <si>
    <t>NOV'10</t>
  </si>
  <si>
    <t>DEC'10</t>
  </si>
  <si>
    <t>JAN'11</t>
  </si>
  <si>
    <t>FEB'11</t>
  </si>
  <si>
    <t>TOTAL</t>
  </si>
  <si>
    <t>Band Pay</t>
  </si>
  <si>
    <t>Grade Pay</t>
  </si>
  <si>
    <t>Personal Pay.</t>
  </si>
  <si>
    <t>D.A.(%)</t>
  </si>
  <si>
    <t>D.A.(amount)</t>
  </si>
  <si>
    <t>HRA</t>
  </si>
  <si>
    <t>Children Edu Allow</t>
  </si>
  <si>
    <r>
      <t xml:space="preserve">Arrears / </t>
    </r>
    <r>
      <rPr>
        <b/>
        <sz val="8"/>
        <color indexed="17"/>
        <rFont val="Arial"/>
        <family val="2"/>
      </rPr>
      <t>Bonus</t>
    </r>
  </si>
  <si>
    <t>NPA(FOR DOC'S)</t>
  </si>
  <si>
    <t>Running Allowance</t>
  </si>
  <si>
    <r>
      <t>Leave Encashment /</t>
    </r>
    <r>
      <rPr>
        <b/>
        <sz val="7"/>
        <color indexed="17"/>
        <rFont val="Arial"/>
        <family val="2"/>
      </rPr>
      <t>NHA</t>
    </r>
  </si>
  <si>
    <t>Nightduty Allowance</t>
  </si>
  <si>
    <t>Overtime Allowance</t>
  </si>
  <si>
    <t>Total Taxable Salary</t>
  </si>
  <si>
    <t>Transport.Allowance</t>
  </si>
  <si>
    <t>T.A./ D.A.</t>
  </si>
  <si>
    <t>Teaching Allowance</t>
  </si>
  <si>
    <t>Medical Allowance</t>
  </si>
  <si>
    <t>NonTaxable Salary</t>
  </si>
  <si>
    <t>TOTAL SALARY</t>
  </si>
  <si>
    <t>Arrears / Bonus</t>
  </si>
  <si>
    <t>GROSS SALARY</t>
  </si>
  <si>
    <t>DEDUCTIONS</t>
  </si>
  <si>
    <t xml:space="preserve"> </t>
  </si>
  <si>
    <t>PF</t>
  </si>
  <si>
    <t>VPF</t>
  </si>
  <si>
    <t>CGEIS</t>
  </si>
  <si>
    <t>Income Tax</t>
  </si>
  <si>
    <t>Profession Tax.</t>
  </si>
  <si>
    <t>Welfare</t>
  </si>
  <si>
    <t>HBA-Principal</t>
  </si>
  <si>
    <t xml:space="preserve">HBA-Interest </t>
  </si>
  <si>
    <t>Festival Advance</t>
  </si>
  <si>
    <t>Society Loan</t>
  </si>
  <si>
    <t>Society CTD</t>
  </si>
  <si>
    <t>Society Savings Bank</t>
  </si>
  <si>
    <t>House rent</t>
  </si>
  <si>
    <t>Total Deductions</t>
  </si>
  <si>
    <t>NET PAY</t>
  </si>
  <si>
    <t>ADMISSIBLE DEDUCTIONS</t>
  </si>
  <si>
    <t>SCH-VI</t>
  </si>
  <si>
    <t>Amount</t>
  </si>
  <si>
    <t>Eligible Amt</t>
  </si>
  <si>
    <t>Taxable Tran. Allowance</t>
  </si>
  <si>
    <t>SEC 80D</t>
  </si>
  <si>
    <r>
      <t>Sec 80C</t>
    </r>
    <r>
      <rPr>
        <b/>
        <sz val="8"/>
        <color indexed="12"/>
        <rFont val="Arial"/>
        <family val="2"/>
      </rPr>
      <t xml:space="preserve"> - PPF</t>
    </r>
  </si>
  <si>
    <t>Other Income</t>
  </si>
  <si>
    <t>SEC 80DD</t>
  </si>
  <si>
    <t xml:space="preserve"> LIC</t>
  </si>
  <si>
    <t>Gross Taxable Income</t>
  </si>
  <si>
    <t>SEC 80DDB</t>
  </si>
  <si>
    <t>Tuition Fees</t>
  </si>
  <si>
    <t>Ded80C-From Salary</t>
  </si>
  <si>
    <t>SEC 80E</t>
  </si>
  <si>
    <t>NSS</t>
  </si>
  <si>
    <t>Ded80C-Other</t>
  </si>
  <si>
    <t>SEC 80G</t>
  </si>
  <si>
    <r>
      <t>HBA</t>
    </r>
    <r>
      <rPr>
        <b/>
        <sz val="8"/>
        <color indexed="17"/>
        <rFont val="Arial"/>
        <family val="2"/>
      </rPr>
      <t>(Other than SALARY)</t>
    </r>
  </si>
  <si>
    <t>Ded-Admissible 80C</t>
  </si>
  <si>
    <t>SEC 80 GG</t>
  </si>
  <si>
    <t>Equity Linked  Saving Scheme</t>
  </si>
  <si>
    <t>SEC 80 GGA</t>
  </si>
  <si>
    <t>Bank FD</t>
  </si>
  <si>
    <t>HBA Int-other Loan</t>
  </si>
  <si>
    <t>SEC 80GGC</t>
  </si>
  <si>
    <t>Post Office Term Deposit</t>
  </si>
  <si>
    <t>HBA Int.- Deptt.Loan</t>
  </si>
  <si>
    <t>SEC 80 U</t>
  </si>
  <si>
    <t>UTI / ULIP / PLI</t>
  </si>
  <si>
    <t>Ded-Chapter VI</t>
  </si>
  <si>
    <t>SEC 80CCC</t>
  </si>
  <si>
    <t>Net Taxable Income</t>
  </si>
  <si>
    <t>SEC 80CCD</t>
  </si>
  <si>
    <t>Eligible Deductions-Sec80C</t>
  </si>
  <si>
    <t>Infrastructure Bond</t>
  </si>
  <si>
    <t xml:space="preserve">                TOTAL</t>
  </si>
  <si>
    <t>Rs 500001-Rs 800000</t>
  </si>
  <si>
    <t>HBA LOAN INTEREST</t>
  </si>
  <si>
    <t>OTHER TAXABLE  INCOME</t>
  </si>
  <si>
    <t>Above Rs 800000</t>
  </si>
  <si>
    <t>LOAN from Deptt.</t>
  </si>
  <si>
    <t>Income from INTEREST</t>
  </si>
  <si>
    <t>Total Tax</t>
  </si>
  <si>
    <t>LOAN from others</t>
  </si>
  <si>
    <t>OTHER INCOME</t>
  </si>
  <si>
    <t>Edu. cess-3%</t>
  </si>
  <si>
    <t>Tax  Payable</t>
  </si>
  <si>
    <t>Tax paid</t>
  </si>
  <si>
    <t>TAX deducted at Source</t>
  </si>
  <si>
    <t>Tax to be paid</t>
  </si>
  <si>
    <t xml:space="preserve">                Total Taxable</t>
  </si>
  <si>
    <t>PF  RECORD</t>
  </si>
  <si>
    <t>Bal FEB'10</t>
  </si>
  <si>
    <t>OCT'09</t>
  </si>
  <si>
    <t>Sub'10-11</t>
  </si>
  <si>
    <t>INT. 10-11</t>
  </si>
  <si>
    <t>Bal FEB'11</t>
  </si>
  <si>
    <t>Deposit</t>
  </si>
  <si>
    <t>PF Withdrawl</t>
  </si>
  <si>
    <t>PF Balance</t>
  </si>
  <si>
    <t>PPF RECORD-2010-11</t>
  </si>
  <si>
    <t>Bal MAR'10</t>
  </si>
  <si>
    <t>MAR'11</t>
  </si>
  <si>
    <t>Bal MAR'11</t>
  </si>
  <si>
    <t>PPF Withdrawl</t>
  </si>
  <si>
    <t>PPF Balance</t>
  </si>
  <si>
    <r>
      <t xml:space="preserve">Developed by: </t>
    </r>
    <r>
      <rPr>
        <b/>
        <sz val="11"/>
        <color indexed="60"/>
        <rFont val="Arial"/>
        <family val="2"/>
      </rPr>
      <t>Lalit Khandelwal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   e-mail ID</t>
    </r>
    <r>
      <rPr>
        <b/>
        <sz val="10"/>
        <color indexed="17"/>
        <rFont val="Arial"/>
        <family val="2"/>
      </rPr>
      <t>: lalit_kh@rediffmail.com</t>
    </r>
  </si>
  <si>
    <t xml:space="preserve">    </t>
  </si>
  <si>
    <t>website: www.irtsa.net</t>
  </si>
  <si>
    <t>SALARY &amp; INCOME TAX - F.Y. 2009-10</t>
  </si>
  <si>
    <t>Below 65 Years</t>
  </si>
  <si>
    <r>
      <t xml:space="preserve">USER TO PUT NECESSARY DATA IN </t>
    </r>
    <r>
      <rPr>
        <b/>
        <sz val="10"/>
        <color indexed="52"/>
        <rFont val="Draft 12cpi"/>
        <family val="0"/>
      </rPr>
      <t>YELLOW CELLS</t>
    </r>
    <r>
      <rPr>
        <b/>
        <sz val="10"/>
        <color indexed="10"/>
        <rFont val="Draft 12cpi"/>
        <family val="3"/>
      </rPr>
      <t xml:space="preserve"> ONLY</t>
    </r>
  </si>
  <si>
    <r>
      <t xml:space="preserve">IN CASE OF PROMOTION, USER TO PUT </t>
    </r>
    <r>
      <rPr>
        <b/>
        <sz val="10"/>
        <color indexed="17"/>
        <rFont val="Arial"/>
        <family val="2"/>
      </rPr>
      <t xml:space="preserve">REVISED BAND PAY </t>
    </r>
    <r>
      <rPr>
        <b/>
        <sz val="10"/>
        <color indexed="10"/>
        <rFont val="Arial"/>
        <family val="2"/>
      </rPr>
      <t>&amp;</t>
    </r>
    <r>
      <rPr>
        <b/>
        <sz val="10"/>
        <color indexed="17"/>
        <rFont val="Arial"/>
        <family val="2"/>
      </rPr>
      <t xml:space="preserve"> GRADE PAY </t>
    </r>
    <r>
      <rPr>
        <b/>
        <sz val="10"/>
        <color indexed="10"/>
        <rFont val="Arial"/>
        <family val="2"/>
      </rPr>
      <t>IN RESPECTIVE CELLS.</t>
    </r>
  </si>
  <si>
    <r>
      <t xml:space="preserve">For Transportation Allowance -- </t>
    </r>
    <r>
      <rPr>
        <b/>
        <sz val="12"/>
        <color indexed="10"/>
        <rFont val="Georgia"/>
        <family val="1"/>
      </rPr>
      <t>1</t>
    </r>
    <r>
      <rPr>
        <b/>
        <sz val="10"/>
        <color indexed="10"/>
        <rFont val="Georgia"/>
        <family val="1"/>
      </rPr>
      <t>-</t>
    </r>
    <r>
      <rPr>
        <b/>
        <sz val="10"/>
        <color indexed="12"/>
        <rFont val="Georgia"/>
        <family val="1"/>
      </rPr>
      <t xml:space="preserve">For A1 /A Class cities , </t>
    </r>
    <r>
      <rPr>
        <b/>
        <sz val="10"/>
        <color indexed="10"/>
        <rFont val="Georgia"/>
        <family val="1"/>
      </rPr>
      <t xml:space="preserve"> </t>
    </r>
    <r>
      <rPr>
        <b/>
        <sz val="12"/>
        <color indexed="10"/>
        <rFont val="Georgia"/>
        <family val="1"/>
      </rPr>
      <t>2</t>
    </r>
    <r>
      <rPr>
        <b/>
        <sz val="10"/>
        <color indexed="10"/>
        <rFont val="Georgia"/>
        <family val="1"/>
      </rPr>
      <t xml:space="preserve">- </t>
    </r>
    <r>
      <rPr>
        <b/>
        <sz val="10"/>
        <color indexed="12"/>
        <rFont val="Georgia"/>
        <family val="1"/>
      </rPr>
      <t>For other cities.</t>
    </r>
  </si>
  <si>
    <r>
      <t>For HRA</t>
    </r>
    <r>
      <rPr>
        <b/>
        <sz val="10"/>
        <color indexed="12"/>
        <rFont val="Arial"/>
        <family val="2"/>
      </rPr>
      <t xml:space="preserve"> - Are you allotted a Rly accommodation- </t>
    </r>
    <r>
      <rPr>
        <b/>
        <sz val="10"/>
        <color indexed="17"/>
        <rFont val="Arial"/>
        <family val="2"/>
      </rPr>
      <t xml:space="preserve">If </t>
    </r>
    <r>
      <rPr>
        <b/>
        <sz val="11"/>
        <color indexed="17"/>
        <rFont val="Arial"/>
        <family val="2"/>
      </rPr>
      <t>YES</t>
    </r>
    <r>
      <rPr>
        <b/>
        <sz val="10"/>
        <color indexed="12"/>
        <rFont val="Arial"/>
        <family val="2"/>
      </rPr>
      <t>-</t>
    </r>
    <r>
      <rPr>
        <b/>
        <sz val="12"/>
        <color indexed="10"/>
        <rFont val="Arial"/>
        <family val="2"/>
      </rPr>
      <t>0</t>
    </r>
    <r>
      <rPr>
        <b/>
        <sz val="10"/>
        <color indexed="12"/>
        <rFont val="Arial"/>
        <family val="2"/>
      </rPr>
      <t>,</t>
    </r>
    <r>
      <rPr>
        <b/>
        <sz val="11"/>
        <color indexed="17"/>
        <rFont val="Arial"/>
        <family val="2"/>
      </rPr>
      <t>If NO</t>
    </r>
    <r>
      <rPr>
        <b/>
        <sz val="10"/>
        <color indexed="12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for X(A1)class,</t>
    </r>
    <r>
      <rPr>
        <b/>
        <sz val="10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for Y(A,B1,B2) class</t>
    </r>
    <r>
      <rPr>
        <b/>
        <sz val="10"/>
        <color indexed="12"/>
        <rFont val="Arial"/>
        <family val="2"/>
      </rPr>
      <t xml:space="preserve"> &amp;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3</t>
    </r>
    <r>
      <rPr>
        <b/>
        <sz val="10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for Z(C/other) class cities</t>
    </r>
    <r>
      <rPr>
        <b/>
        <sz val="10"/>
        <color indexed="12"/>
        <rFont val="Arial"/>
        <family val="2"/>
      </rPr>
      <t xml:space="preserve">, </t>
    </r>
  </si>
  <si>
    <r>
      <t xml:space="preserve">SEX </t>
    </r>
    <r>
      <rPr>
        <b/>
        <sz val="10"/>
        <color indexed="12"/>
        <rFont val="Arial"/>
        <family val="2"/>
      </rPr>
      <t xml:space="preserve">-  FOR INDIVIDUAL : </t>
    </r>
    <r>
      <rPr>
        <b/>
        <sz val="12"/>
        <color indexed="10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For MALE</t>
    </r>
    <r>
      <rPr>
        <b/>
        <sz val="10"/>
        <color indexed="10"/>
        <rFont val="Arial"/>
        <family val="2"/>
      </rPr>
      <t xml:space="preserve">,  </t>
    </r>
    <r>
      <rPr>
        <b/>
        <sz val="12"/>
        <color indexed="10"/>
        <rFont val="Arial"/>
        <family val="2"/>
      </rPr>
      <t xml:space="preserve">2 </t>
    </r>
    <r>
      <rPr>
        <b/>
        <sz val="10"/>
        <color indexed="12"/>
        <rFont val="Arial"/>
        <family val="2"/>
      </rPr>
      <t>For  FEMALE</t>
    </r>
    <r>
      <rPr>
        <b/>
        <sz val="10"/>
        <color indexed="10"/>
        <rFont val="Arial"/>
        <family val="2"/>
      </rPr>
      <t xml:space="preserve">  </t>
    </r>
  </si>
  <si>
    <t xml:space="preserve">Are you a Teaching Faculty- REGULAR </t>
  </si>
  <si>
    <r>
      <t>If NO-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,</t>
    </r>
    <r>
      <rPr>
        <b/>
        <sz val="10"/>
        <color indexed="17"/>
        <rFont val="Arial"/>
        <family val="2"/>
      </rPr>
      <t>If YES</t>
    </r>
    <r>
      <rPr>
        <b/>
        <sz val="10"/>
        <color indexed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 xml:space="preserve">1  </t>
    </r>
    <r>
      <rPr>
        <b/>
        <sz val="10"/>
        <color indexed="12"/>
        <rFont val="Arial"/>
        <family val="2"/>
      </rPr>
      <t>for Centralised Institute,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2  </t>
    </r>
    <r>
      <rPr>
        <b/>
        <sz val="10"/>
        <color indexed="12"/>
        <rFont val="Arial"/>
        <family val="2"/>
      </rPr>
      <t>for other Institute</t>
    </r>
  </si>
  <si>
    <t>Are you a Medical Officer</t>
  </si>
  <si>
    <r>
      <t>If NO -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0</t>
    </r>
    <r>
      <rPr>
        <b/>
        <sz val="11"/>
        <color indexed="17"/>
        <rFont val="Arial"/>
        <family val="2"/>
      </rPr>
      <t xml:space="preserve"> , If YES - </t>
    </r>
    <r>
      <rPr>
        <b/>
        <sz val="12"/>
        <color indexed="10"/>
        <rFont val="Arial"/>
        <family val="2"/>
      </rPr>
      <t>1</t>
    </r>
    <r>
      <rPr>
        <b/>
        <sz val="11"/>
        <color indexed="17"/>
        <rFont val="Arial"/>
        <family val="2"/>
      </rPr>
      <t xml:space="preserve"> .</t>
    </r>
  </si>
  <si>
    <r>
      <t>SALARY</t>
    </r>
    <r>
      <rPr>
        <sz val="14"/>
        <color indexed="57"/>
        <rFont val="Arial"/>
        <family val="2"/>
      </rPr>
      <t xml:space="preserve"> </t>
    </r>
  </si>
  <si>
    <t>MAR'09</t>
  </si>
  <si>
    <t>APR'09</t>
  </si>
  <si>
    <t>MAY'09</t>
  </si>
  <si>
    <t>JUN'09</t>
  </si>
  <si>
    <t>JUL'09</t>
  </si>
  <si>
    <t>AUG'09</t>
  </si>
  <si>
    <t>SEP'09</t>
  </si>
  <si>
    <t>NOV'09</t>
  </si>
  <si>
    <t>DEC'09</t>
  </si>
  <si>
    <t>JAN'10</t>
  </si>
  <si>
    <t>FEB'10</t>
  </si>
  <si>
    <t>Non Practice All</t>
  </si>
  <si>
    <t>Leave Encashment</t>
  </si>
  <si>
    <t>T'BLE INCOME</t>
  </si>
  <si>
    <t>T.A./D.A.</t>
  </si>
  <si>
    <t>NON T'BLE INCOME.</t>
  </si>
  <si>
    <t>GROSS PAY</t>
  </si>
  <si>
    <t>INCOME TAX</t>
  </si>
  <si>
    <t>HBA-PRINCIPAL</t>
  </si>
  <si>
    <t>HBA-INTEREST</t>
  </si>
  <si>
    <t>FESTIVAL ADVANCE</t>
  </si>
  <si>
    <t>TOT DEDUCTIONS</t>
  </si>
  <si>
    <t>TAXABLE INCOME</t>
  </si>
  <si>
    <t>AMOUNT</t>
  </si>
  <si>
    <t>Taxable Tran. All</t>
  </si>
  <si>
    <r>
      <t>Sec 80C</t>
    </r>
    <r>
      <rPr>
        <b/>
        <sz val="10"/>
        <color indexed="12"/>
        <rFont val="Arial"/>
        <family val="2"/>
      </rPr>
      <t xml:space="preserve"> - PPF</t>
    </r>
  </si>
  <si>
    <t>GROS TAX INCOME</t>
  </si>
  <si>
    <r>
      <t>HBA</t>
    </r>
    <r>
      <rPr>
        <b/>
        <sz val="10"/>
        <color indexed="17"/>
        <rFont val="Arial"/>
        <family val="2"/>
      </rPr>
      <t>(Other than SALARY)</t>
    </r>
  </si>
  <si>
    <t>Equity Linked  Saving Sch.</t>
  </si>
  <si>
    <t>NET TAX.INCOME</t>
  </si>
  <si>
    <t>UP TO Rs 300000</t>
  </si>
  <si>
    <t>Rs 300001-Rs 500000</t>
  </si>
  <si>
    <t>Above Rs 500000</t>
  </si>
  <si>
    <t>TOTAL TAX</t>
  </si>
  <si>
    <t>INTEREST</t>
  </si>
  <si>
    <t>EDU. CESS-3%</t>
  </si>
  <si>
    <t>TAX  PAYABLE</t>
  </si>
  <si>
    <t>TAX DEDUCTED</t>
  </si>
  <si>
    <t xml:space="preserve">BALANCE TAX </t>
  </si>
  <si>
    <t xml:space="preserve">PF </t>
  </si>
  <si>
    <t>YEAR</t>
  </si>
  <si>
    <t>Bal FEB'09</t>
  </si>
  <si>
    <t>Sub'09-10</t>
  </si>
  <si>
    <t>INT. 09-10</t>
  </si>
  <si>
    <t>2009-10</t>
  </si>
  <si>
    <t>PPF</t>
  </si>
  <si>
    <t>Bal MAR'09</t>
  </si>
  <si>
    <t>Please verify the  ceiling limits  of various  deductions  with latest  IT rules</t>
  </si>
  <si>
    <r>
      <t>Developed by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: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3"/>
        <rFont val="Batang"/>
        <family val="1"/>
      </rPr>
      <t>Lalit Khandelwal</t>
    </r>
    <r>
      <rPr>
        <b/>
        <sz val="12"/>
        <color indexed="9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e-mail ID: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3"/>
        <rFont val="Arial"/>
        <family val="2"/>
      </rPr>
      <t xml:space="preserve"> lalit_kh@rediffmil.com</t>
    </r>
  </si>
  <si>
    <t>APR'11</t>
  </si>
  <si>
    <t>MAY'11</t>
  </si>
  <si>
    <t>JUN'11</t>
  </si>
  <si>
    <t>JUL'11</t>
  </si>
  <si>
    <t>AUG'11</t>
  </si>
  <si>
    <t>SEP'11</t>
  </si>
  <si>
    <t>OCT'11</t>
  </si>
  <si>
    <t>NOV'11</t>
  </si>
  <si>
    <t>DEC'11</t>
  </si>
  <si>
    <t>JAN'12</t>
  </si>
  <si>
    <t>FEB'12</t>
  </si>
  <si>
    <r>
      <t xml:space="preserve">SEX </t>
    </r>
    <r>
      <rPr>
        <b/>
        <sz val="8"/>
        <color indexed="12"/>
        <rFont val="Times New Roman"/>
        <family val="1"/>
      </rPr>
      <t xml:space="preserve">- :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1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2"/>
        <rFont val="Times New Roman"/>
        <family val="1"/>
      </rPr>
      <t xml:space="preserve"> For MALE </t>
    </r>
    <r>
      <rPr>
        <b/>
        <sz val="8"/>
        <color indexed="10"/>
        <rFont val="Times New Roman"/>
        <family val="1"/>
      </rPr>
      <t xml:space="preserve">,  </t>
    </r>
    <r>
      <rPr>
        <b/>
        <sz val="9"/>
        <color indexed="10"/>
        <rFont val="Times New Roman"/>
        <family val="1"/>
      </rPr>
      <t>2</t>
    </r>
    <r>
      <rPr>
        <b/>
        <sz val="8"/>
        <color indexed="10"/>
        <rFont val="Times New Roman"/>
        <family val="1"/>
      </rPr>
      <t xml:space="preserve">  </t>
    </r>
    <r>
      <rPr>
        <b/>
        <sz val="8"/>
        <color indexed="12"/>
        <rFont val="Times New Roman"/>
        <family val="1"/>
      </rPr>
      <t>For  FEMALE</t>
    </r>
    <r>
      <rPr>
        <b/>
        <sz val="8"/>
        <color indexed="10"/>
        <rFont val="Times New Roman"/>
        <family val="1"/>
      </rPr>
      <t xml:space="preserve">  </t>
    </r>
  </si>
  <si>
    <r>
      <t xml:space="preserve">For Transportation Allowance :                                                 </t>
    </r>
    <r>
      <rPr>
        <b/>
        <sz val="10"/>
        <color indexed="10"/>
        <rFont val="Arial"/>
        <family val="2"/>
      </rPr>
      <t>1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 xml:space="preserve">For A1 /A Class cities , </t>
    </r>
    <r>
      <rPr>
        <b/>
        <sz val="10"/>
        <color indexed="10"/>
        <rFont val="Arial"/>
        <family val="2"/>
      </rPr>
      <t xml:space="preserve"> 2</t>
    </r>
    <r>
      <rPr>
        <b/>
        <sz val="8"/>
        <color indexed="10"/>
        <rFont val="Arial"/>
        <family val="2"/>
      </rPr>
      <t xml:space="preserve"> - </t>
    </r>
    <r>
      <rPr>
        <b/>
        <sz val="8"/>
        <color indexed="12"/>
        <rFont val="Arial"/>
        <family val="2"/>
      </rPr>
      <t>For other cities.</t>
    </r>
  </si>
  <si>
    <r>
      <t>SALARY &amp; INCOME TAX - F.Y. 2011-12</t>
    </r>
    <r>
      <rPr>
        <b/>
        <sz val="10"/>
        <color indexed="16"/>
        <rFont val="Arial"/>
        <family val="2"/>
      </rPr>
      <t>(For Central Govt.Employees)</t>
    </r>
  </si>
  <si>
    <t>Sub'11-12</t>
  </si>
  <si>
    <t>INT. 11-12</t>
  </si>
  <si>
    <t>Bal FEB'12</t>
  </si>
  <si>
    <t>MAR'12</t>
  </si>
  <si>
    <t>Bal MAR'12</t>
  </si>
  <si>
    <r>
      <t>For HRA</t>
    </r>
    <r>
      <rPr>
        <b/>
        <sz val="8"/>
        <color indexed="12"/>
        <rFont val="Times New Roman"/>
        <family val="1"/>
      </rPr>
      <t xml:space="preserve"> : </t>
    </r>
    <r>
      <rPr>
        <b/>
        <sz val="9"/>
        <color indexed="12"/>
        <rFont val="Times New Roman"/>
        <family val="1"/>
      </rPr>
      <t>Are you allotted a Govt. accommodation</t>
    </r>
    <r>
      <rPr>
        <b/>
        <sz val="8"/>
        <color indexed="12"/>
        <rFont val="Times New Roman"/>
        <family val="1"/>
      </rPr>
      <t xml:space="preserve">-                 </t>
    </r>
    <r>
      <rPr>
        <b/>
        <sz val="8"/>
        <color indexed="17"/>
        <rFont val="Times New Roman"/>
        <family val="1"/>
      </rPr>
      <t>If YES</t>
    </r>
    <r>
      <rPr>
        <b/>
        <sz val="8"/>
        <color indexed="12"/>
        <rFont val="Times New Roman"/>
        <family val="1"/>
      </rPr>
      <t xml:space="preserve">-    </t>
    </r>
    <r>
      <rPr>
        <b/>
        <sz val="8"/>
        <color indexed="10"/>
        <rFont val="Times New Roman"/>
        <family val="1"/>
      </rPr>
      <t>0</t>
    </r>
    <r>
      <rPr>
        <b/>
        <sz val="8"/>
        <color indexed="12"/>
        <rFont val="Times New Roman"/>
        <family val="1"/>
      </rPr>
      <t xml:space="preserve">, </t>
    </r>
    <r>
      <rPr>
        <b/>
        <sz val="8"/>
        <color indexed="17"/>
        <rFont val="Times New Roman"/>
        <family val="1"/>
      </rPr>
      <t xml:space="preserve">If NO </t>
    </r>
    <r>
      <rPr>
        <b/>
        <sz val="8"/>
        <color indexed="12"/>
        <rFont val="Times New Roman"/>
        <family val="1"/>
      </rPr>
      <t xml:space="preserve">- </t>
    </r>
    <r>
      <rPr>
        <b/>
        <sz val="8"/>
        <color indexed="10"/>
        <rFont val="Times New Roman"/>
        <family val="1"/>
      </rPr>
      <t xml:space="preserve">1  </t>
    </r>
    <r>
      <rPr>
        <b/>
        <sz val="8"/>
        <color indexed="12"/>
        <rFont val="Times New Roman"/>
        <family val="1"/>
      </rPr>
      <t xml:space="preserve">for X (A1) class, </t>
    </r>
    <r>
      <rPr>
        <b/>
        <sz val="8"/>
        <color indexed="10"/>
        <rFont val="Times New Roman"/>
        <family val="1"/>
      </rPr>
      <t xml:space="preserve">2  </t>
    </r>
    <r>
      <rPr>
        <b/>
        <sz val="8"/>
        <color indexed="12"/>
        <rFont val="Times New Roman"/>
        <family val="1"/>
      </rPr>
      <t xml:space="preserve">for Y (A,B1,B2) class &amp; </t>
    </r>
    <r>
      <rPr>
        <b/>
        <sz val="8"/>
        <color indexed="10"/>
        <rFont val="Times New Roman"/>
        <family val="1"/>
      </rPr>
      <t xml:space="preserve">3 </t>
    </r>
    <r>
      <rPr>
        <b/>
        <sz val="8"/>
        <color indexed="12"/>
        <rFont val="Times New Roman"/>
        <family val="1"/>
      </rPr>
      <t xml:space="preserve"> for Z (C/other) class cities. </t>
    </r>
  </si>
  <si>
    <r>
      <t xml:space="preserve">Below </t>
    </r>
    <r>
      <rPr>
        <b/>
        <sz val="9"/>
        <color indexed="10"/>
        <rFont val="Arial"/>
        <family val="2"/>
      </rPr>
      <t>60</t>
    </r>
    <r>
      <rPr>
        <b/>
        <sz val="9"/>
        <color indexed="12"/>
        <rFont val="Arial"/>
        <family val="2"/>
      </rPr>
      <t xml:space="preserve"> Years</t>
    </r>
  </si>
  <si>
    <t>PPF RECORD-2011-12</t>
  </si>
  <si>
    <t xml:space="preserve">Arrears </t>
  </si>
  <si>
    <t>NPA (For DOC'S)</t>
  </si>
  <si>
    <r>
      <t>Leave Encashment /</t>
    </r>
    <r>
      <rPr>
        <b/>
        <sz val="6"/>
        <color indexed="17"/>
        <rFont val="Arial"/>
        <family val="2"/>
      </rPr>
      <t>NHA</t>
    </r>
  </si>
  <si>
    <t>Tax due</t>
  </si>
  <si>
    <t xml:space="preserve">                Total Other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</si>
</sst>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2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i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i/>
      <sz val="9"/>
      <color indexed="52"/>
      <name val="Arial"/>
      <family val="2"/>
    </font>
    <font>
      <b/>
      <i/>
      <sz val="9"/>
      <color indexed="52"/>
      <name val="Draft 12cpi"/>
      <family val="0"/>
    </font>
    <font>
      <b/>
      <i/>
      <sz val="9"/>
      <color indexed="17"/>
      <name val="Draft 12cpi"/>
      <family val="3"/>
    </font>
    <font>
      <b/>
      <sz val="9"/>
      <color indexed="17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Comic Sans MS"/>
      <family val="4"/>
    </font>
    <font>
      <b/>
      <sz val="9"/>
      <color indexed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7"/>
      <name val="Times New Roman"/>
      <family val="1"/>
    </font>
    <font>
      <sz val="10"/>
      <color indexed="10"/>
      <name val="Arial"/>
      <family val="2"/>
    </font>
    <font>
      <b/>
      <sz val="9"/>
      <color indexed="14"/>
      <name val="Arial"/>
      <family val="2"/>
    </font>
    <font>
      <b/>
      <sz val="7"/>
      <color indexed="12"/>
      <name val="Arial"/>
      <family val="2"/>
    </font>
    <font>
      <b/>
      <sz val="7"/>
      <color indexed="17"/>
      <name val="Arial"/>
      <family val="2"/>
    </font>
    <font>
      <b/>
      <sz val="8"/>
      <color indexed="48"/>
      <name val="Arial"/>
      <family val="2"/>
    </font>
    <font>
      <b/>
      <sz val="9"/>
      <color indexed="56"/>
      <name val="Comic Sans MS"/>
      <family val="4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0"/>
      <name val="Century Gothic"/>
      <family val="2"/>
    </font>
    <font>
      <b/>
      <sz val="7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9"/>
      <color indexed="12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sz val="11"/>
      <color indexed="12"/>
      <name val="Tahoma"/>
      <family val="2"/>
    </font>
    <font>
      <b/>
      <sz val="16"/>
      <color indexed="10"/>
      <name val="Arial"/>
      <family val="2"/>
    </font>
    <font>
      <b/>
      <sz val="14"/>
      <color indexed="14"/>
      <name val="Times New Roman"/>
      <family val="1"/>
    </font>
    <font>
      <b/>
      <sz val="11"/>
      <color indexed="12"/>
      <name val="Candara"/>
      <family val="2"/>
    </font>
    <font>
      <sz val="11"/>
      <color indexed="12"/>
      <name val="Candara"/>
      <family val="2"/>
    </font>
    <font>
      <b/>
      <sz val="10"/>
      <color indexed="10"/>
      <name val="Draft 12cpi"/>
      <family val="3"/>
    </font>
    <font>
      <b/>
      <sz val="10"/>
      <color indexed="52"/>
      <name val="Draft 12cpi"/>
      <family val="0"/>
    </font>
    <font>
      <b/>
      <sz val="10"/>
      <color indexed="10"/>
      <name val="Comic Sans MS"/>
      <family val="4"/>
    </font>
    <font>
      <b/>
      <sz val="11"/>
      <color indexed="10"/>
      <name val="Arial"/>
      <family val="2"/>
    </font>
    <font>
      <b/>
      <sz val="10"/>
      <color indexed="10"/>
      <name val="Georgia"/>
      <family val="1"/>
    </font>
    <font>
      <b/>
      <sz val="12"/>
      <color indexed="10"/>
      <name val="Georgia"/>
      <family val="1"/>
    </font>
    <font>
      <b/>
      <sz val="10"/>
      <color indexed="12"/>
      <name val="Georgia"/>
      <family val="1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b/>
      <sz val="9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indexed="19"/>
      <name val="Arial"/>
      <family val="2"/>
    </font>
    <font>
      <b/>
      <sz val="14"/>
      <color indexed="14"/>
      <name val="Arial"/>
      <family val="2"/>
    </font>
    <font>
      <b/>
      <sz val="12"/>
      <color indexed="13"/>
      <name val="Arial"/>
      <family val="2"/>
    </font>
    <font>
      <b/>
      <sz val="7"/>
      <name val="Arial"/>
      <family val="2"/>
    </font>
    <font>
      <b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4"/>
      <color indexed="17"/>
      <name val="Arial"/>
      <family val="2"/>
    </font>
    <font>
      <b/>
      <sz val="12"/>
      <color indexed="9"/>
      <name val="Arial"/>
      <family val="2"/>
    </font>
    <font>
      <b/>
      <sz val="11"/>
      <color indexed="61"/>
      <name val="Arial"/>
      <family val="2"/>
    </font>
    <font>
      <b/>
      <sz val="13"/>
      <color indexed="10"/>
      <name val="Arial"/>
      <family val="2"/>
    </font>
    <font>
      <b/>
      <sz val="14"/>
      <color indexed="10"/>
      <name val="AvantGarde Md BT"/>
      <family val="2"/>
    </font>
    <font>
      <b/>
      <sz val="11"/>
      <color indexed="12"/>
      <name val="Arial"/>
      <family val="2"/>
    </font>
    <font>
      <u val="single"/>
      <sz val="11"/>
      <color indexed="10"/>
      <name val="Arial Black"/>
      <family val="2"/>
    </font>
    <font>
      <b/>
      <sz val="12"/>
      <color indexed="13"/>
      <name val="Batang"/>
      <family val="1"/>
    </font>
    <font>
      <b/>
      <sz val="10"/>
      <name val="Tahoma"/>
      <family val="2"/>
    </font>
    <font>
      <b/>
      <sz val="6"/>
      <color indexed="10"/>
      <name val="Arial"/>
      <family val="2"/>
    </font>
    <font>
      <b/>
      <sz val="6"/>
      <color indexed="12"/>
      <name val="Arial"/>
      <family val="2"/>
    </font>
    <font>
      <b/>
      <sz val="6"/>
      <color indexed="1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4" fontId="12" fillId="0" borderId="5" xfId="17" applyFont="1" applyBorder="1" applyAlignment="1">
      <alignment horizontal="left" vertical="center"/>
    </xf>
    <xf numFmtId="44" fontId="0" fillId="0" borderId="8" xfId="17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4" fillId="3" borderId="8" xfId="0" applyNumberFormat="1" applyFont="1" applyFill="1" applyBorder="1" applyAlignment="1">
      <alignment horizontal="left" vertical="center"/>
    </xf>
    <xf numFmtId="0" fontId="11" fillId="3" borderId="8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18" fillId="2" borderId="8" xfId="0" applyNumberFormat="1" applyFont="1" applyFill="1" applyBorder="1" applyAlignment="1">
      <alignment horizontal="right" vertical="center"/>
    </xf>
    <xf numFmtId="1" fontId="4" fillId="4" borderId="8" xfId="0" applyNumberFormat="1" applyFont="1" applyFill="1" applyBorder="1" applyAlignment="1">
      <alignment horizontal="right" vertical="center"/>
    </xf>
    <xf numFmtId="3" fontId="12" fillId="5" borderId="8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1" fontId="4" fillId="2" borderId="8" xfId="0" applyNumberFormat="1" applyFont="1" applyFill="1" applyBorder="1" applyAlignment="1">
      <alignment horizontal="right" vertical="center"/>
    </xf>
    <xf numFmtId="1" fontId="4" fillId="0" borderId="8" xfId="0" applyNumberFormat="1" applyFont="1" applyBorder="1" applyAlignment="1">
      <alignment horizontal="right" vertical="center"/>
    </xf>
    <xf numFmtId="1" fontId="12" fillId="5" borderId="8" xfId="0" applyNumberFormat="1" applyFont="1" applyFill="1" applyBorder="1" applyAlignment="1">
      <alignment horizontal="right" vertical="center"/>
    </xf>
    <xf numFmtId="1" fontId="0" fillId="0" borderId="2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12" fillId="6" borderId="8" xfId="0" applyNumberFormat="1" applyFont="1" applyFill="1" applyBorder="1" applyAlignment="1">
      <alignment horizontal="right" vertical="center"/>
    </xf>
    <xf numFmtId="1" fontId="12" fillId="4" borderId="8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5" fillId="6" borderId="8" xfId="0" applyNumberFormat="1" applyFont="1" applyFill="1" applyBorder="1" applyAlignment="1">
      <alignment horizontal="right" vertical="center"/>
    </xf>
    <xf numFmtId="2" fontId="30" fillId="0" borderId="5" xfId="0" applyNumberFormat="1" applyFont="1" applyBorder="1" applyAlignment="1">
      <alignment horizontal="right" vertical="center"/>
    </xf>
    <xf numFmtId="2" fontId="30" fillId="0" borderId="6" xfId="0" applyNumberFormat="1" applyFont="1" applyBorder="1" applyAlignment="1">
      <alignment horizontal="right" vertical="center"/>
    </xf>
    <xf numFmtId="2" fontId="31" fillId="0" borderId="7" xfId="0" applyNumberFormat="1" applyFont="1" applyBorder="1" applyAlignment="1">
      <alignment horizontal="right" vertical="center"/>
    </xf>
    <xf numFmtId="1" fontId="4" fillId="5" borderId="8" xfId="0" applyNumberFormat="1" applyFont="1" applyFill="1" applyBorder="1" applyAlignment="1">
      <alignment horizontal="right" vertical="center"/>
    </xf>
    <xf numFmtId="3" fontId="12" fillId="6" borderId="7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35" fillId="6" borderId="8" xfId="0" applyFont="1" applyFill="1" applyBorder="1" applyAlignment="1">
      <alignment horizontal="left" vertical="center"/>
    </xf>
    <xf numFmtId="0" fontId="36" fillId="6" borderId="8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3" fontId="4" fillId="3" borderId="8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" fontId="12" fillId="0" borderId="8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1" fontId="18" fillId="2" borderId="15" xfId="0" applyNumberFormat="1" applyFont="1" applyFill="1" applyBorder="1" applyAlignment="1">
      <alignment horizontal="right" vertical="center"/>
    </xf>
    <xf numFmtId="1" fontId="4" fillId="3" borderId="8" xfId="0" applyNumberFormat="1" applyFont="1" applyFill="1" applyBorder="1" applyAlignment="1">
      <alignment horizontal="right" vertical="center"/>
    </xf>
    <xf numFmtId="3" fontId="12" fillId="3" borderId="16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39" fillId="7" borderId="5" xfId="0" applyFont="1" applyFill="1" applyBorder="1" applyAlignment="1">
      <alignment vertical="center"/>
    </xf>
    <xf numFmtId="0" fontId="40" fillId="7" borderId="7" xfId="0" applyFont="1" applyFill="1" applyBorder="1" applyAlignment="1">
      <alignment vertical="center"/>
    </xf>
    <xf numFmtId="1" fontId="39" fillId="7" borderId="8" xfId="0" applyNumberFormat="1" applyFont="1" applyFill="1" applyBorder="1" applyAlignment="1">
      <alignment horizontal="right" vertical="center"/>
    </xf>
    <xf numFmtId="0" fontId="37" fillId="0" borderId="8" xfId="0" applyFont="1" applyBorder="1" applyAlignment="1">
      <alignment horizontal="right" vertical="center"/>
    </xf>
    <xf numFmtId="3" fontId="42" fillId="3" borderId="8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3" fillId="3" borderId="18" xfId="0" applyFont="1" applyFill="1" applyBorder="1" applyAlignment="1">
      <alignment horizontal="left" vertical="center"/>
    </xf>
    <xf numFmtId="3" fontId="18" fillId="2" borderId="8" xfId="0" applyNumberFormat="1" applyFont="1" applyFill="1" applyBorder="1" applyAlignment="1">
      <alignment horizontal="left" vertical="center"/>
    </xf>
    <xf numFmtId="3" fontId="44" fillId="2" borderId="7" xfId="0" applyNumberFormat="1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left" vertical="center"/>
    </xf>
    <xf numFmtId="3" fontId="12" fillId="0" borderId="18" xfId="0" applyNumberFormat="1" applyFont="1" applyBorder="1" applyAlignment="1">
      <alignment horizontal="left" vertical="center"/>
    </xf>
    <xf numFmtId="3" fontId="29" fillId="2" borderId="8" xfId="0" applyNumberFormat="1" applyFont="1" applyFill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0" fillId="0" borderId="5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3" fontId="29" fillId="0" borderId="18" xfId="0" applyNumberFormat="1" applyFont="1" applyFill="1" applyBorder="1" applyAlignment="1">
      <alignment horizontal="left" vertical="center"/>
    </xf>
    <xf numFmtId="3" fontId="44" fillId="2" borderId="8" xfId="0" applyNumberFormat="1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0" fillId="3" borderId="8" xfId="0" applyNumberFormat="1" applyFont="1" applyFill="1" applyBorder="1" applyAlignment="1">
      <alignment horizontal="center" vertical="center"/>
    </xf>
    <xf numFmtId="0" fontId="47" fillId="3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15" fillId="2" borderId="8" xfId="0" applyNumberFormat="1" applyFont="1" applyFill="1" applyBorder="1" applyAlignment="1">
      <alignment horizontal="right" vertical="center"/>
    </xf>
    <xf numFmtId="1" fontId="19" fillId="4" borderId="8" xfId="0" applyNumberFormat="1" applyFont="1" applyFill="1" applyBorder="1" applyAlignment="1">
      <alignment horizontal="right" vertical="center"/>
    </xf>
    <xf numFmtId="3" fontId="19" fillId="5" borderId="8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/>
    </xf>
    <xf numFmtId="2" fontId="15" fillId="2" borderId="8" xfId="0" applyNumberFormat="1" applyFont="1" applyFill="1" applyBorder="1" applyAlignment="1">
      <alignment horizontal="right" vertical="center"/>
    </xf>
    <xf numFmtId="2" fontId="15" fillId="4" borderId="8" xfId="0" applyNumberFormat="1" applyFont="1" applyFill="1" applyBorder="1" applyAlignment="1">
      <alignment horizontal="right" vertical="center"/>
    </xf>
    <xf numFmtId="1" fontId="19" fillId="0" borderId="8" xfId="0" applyNumberFormat="1" applyFont="1" applyBorder="1" applyAlignment="1">
      <alignment horizontal="right" vertical="center"/>
    </xf>
    <xf numFmtId="1" fontId="19" fillId="5" borderId="8" xfId="0" applyNumberFormat="1" applyFont="1" applyFill="1" applyBorder="1" applyAlignment="1">
      <alignment horizontal="right" vertical="center"/>
    </xf>
    <xf numFmtId="1" fontId="0" fillId="0" borderId="2" xfId="0" applyNumberFormat="1" applyFont="1" applyBorder="1" applyAlignment="1">
      <alignment/>
    </xf>
    <xf numFmtId="1" fontId="3" fillId="3" borderId="8" xfId="0" applyNumberFormat="1" applyFont="1" applyFill="1" applyBorder="1" applyAlignment="1">
      <alignment horizontal="right" vertical="center"/>
    </xf>
    <xf numFmtId="1" fontId="3" fillId="5" borderId="8" xfId="0" applyNumberFormat="1" applyFont="1" applyFill="1" applyBorder="1" applyAlignment="1">
      <alignment horizontal="right" vertical="center"/>
    </xf>
    <xf numFmtId="1" fontId="19" fillId="0" borderId="8" xfId="0" applyNumberFormat="1" applyFont="1" applyFill="1" applyBorder="1" applyAlignment="1">
      <alignment horizontal="right" vertical="center"/>
    </xf>
    <xf numFmtId="1" fontId="3" fillId="6" borderId="8" xfId="0" applyNumberFormat="1" applyFont="1" applyFill="1" applyBorder="1" applyAlignment="1">
      <alignment horizontal="right" vertical="center"/>
    </xf>
    <xf numFmtId="0" fontId="78" fillId="3" borderId="26" xfId="0" applyFont="1" applyFill="1" applyBorder="1" applyAlignment="1">
      <alignment/>
    </xf>
    <xf numFmtId="0" fontId="78" fillId="3" borderId="7" xfId="0" applyFont="1" applyFill="1" applyBorder="1" applyAlignment="1">
      <alignment/>
    </xf>
    <xf numFmtId="2" fontId="0" fillId="0" borderId="5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23" fillId="0" borderId="7" xfId="0" applyNumberFormat="1" applyFont="1" applyBorder="1" applyAlignment="1">
      <alignment vertical="center"/>
    </xf>
    <xf numFmtId="3" fontId="19" fillId="6" borderId="8" xfId="0" applyNumberFormat="1" applyFont="1" applyFill="1" applyBorder="1" applyAlignment="1">
      <alignment horizontal="right" vertical="center"/>
    </xf>
    <xf numFmtId="3" fontId="3" fillId="6" borderId="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38" fillId="6" borderId="8" xfId="0" applyFont="1" applyFill="1" applyBorder="1" applyAlignment="1">
      <alignment horizontal="center" vertical="center"/>
    </xf>
    <xf numFmtId="0" fontId="87" fillId="6" borderId="8" xfId="0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3" fontId="71" fillId="0" borderId="8" xfId="0" applyNumberFormat="1" applyFont="1" applyBorder="1" applyAlignment="1">
      <alignment horizontal="right" vertical="center"/>
    </xf>
    <xf numFmtId="1" fontId="7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/>
    </xf>
    <xf numFmtId="3" fontId="93" fillId="0" borderId="8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" fontId="75" fillId="0" borderId="5" xfId="0" applyNumberFormat="1" applyFont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3" fontId="19" fillId="2" borderId="19" xfId="0" applyNumberFormat="1" applyFont="1" applyFill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95" fillId="2" borderId="8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3" fontId="15" fillId="2" borderId="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19" fillId="5" borderId="19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95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3" fontId="99" fillId="2" borderId="19" xfId="0" applyNumberFormat="1" applyFont="1" applyFill="1" applyBorder="1" applyAlignment="1">
      <alignment horizontal="left" vertical="center"/>
    </xf>
    <xf numFmtId="0" fontId="100" fillId="0" borderId="2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4" fontId="12" fillId="0" borderId="5" xfId="17" applyFont="1" applyBorder="1" applyAlignment="1">
      <alignment horizontal="center" vertical="center"/>
    </xf>
    <xf numFmtId="44" fontId="12" fillId="0" borderId="7" xfId="17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20" fillId="0" borderId="2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9" fillId="8" borderId="26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7" fillId="0" borderId="2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8" fillId="3" borderId="26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left" vertical="center"/>
    </xf>
    <xf numFmtId="1" fontId="29" fillId="0" borderId="26" xfId="0" applyNumberFormat="1" applyFont="1" applyFill="1" applyBorder="1" applyAlignment="1">
      <alignment horizontal="left" vertical="center"/>
    </xf>
    <xf numFmtId="1" fontId="29" fillId="0" borderId="7" xfId="0" applyNumberFormat="1" applyFont="1" applyFill="1" applyBorder="1" applyAlignment="1">
      <alignment horizontal="left" vertical="center"/>
    </xf>
    <xf numFmtId="1" fontId="19" fillId="6" borderId="26" xfId="0" applyNumberFormat="1" applyFont="1" applyFill="1" applyBorder="1" applyAlignment="1">
      <alignment horizontal="left" vertical="center"/>
    </xf>
    <xf numFmtId="1" fontId="19" fillId="6" borderId="7" xfId="0" applyNumberFormat="1" applyFont="1" applyFill="1" applyBorder="1" applyAlignment="1">
      <alignment horizontal="left" vertical="center"/>
    </xf>
    <xf numFmtId="0" fontId="32" fillId="5" borderId="26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1" fontId="29" fillId="6" borderId="26" xfId="0" applyNumberFormat="1" applyFont="1" applyFill="1" applyBorder="1" applyAlignment="1">
      <alignment horizontal="left" vertical="center"/>
    </xf>
    <xf numFmtId="1" fontId="29" fillId="6" borderId="7" xfId="0" applyNumberFormat="1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left" vertical="center"/>
    </xf>
    <xf numFmtId="0" fontId="34" fillId="6" borderId="7" xfId="0" applyFont="1" applyFill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19" fillId="8" borderId="26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3" fontId="12" fillId="0" borderId="26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48" fillId="9" borderId="24" xfId="0" applyFont="1" applyFill="1" applyBorder="1" applyAlignment="1">
      <alignment horizontal="center"/>
    </xf>
    <xf numFmtId="0" fontId="29" fillId="3" borderId="2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19" fillId="10" borderId="26" xfId="0" applyFont="1" applyFill="1" applyBorder="1" applyAlignment="1">
      <alignment horizontal="left" vertical="center"/>
    </xf>
    <xf numFmtId="0" fontId="19" fillId="10" borderId="7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41" fillId="8" borderId="26" xfId="0" applyFont="1" applyFill="1" applyBorder="1" applyAlignment="1">
      <alignment horizontal="left" vertical="center"/>
    </xf>
    <xf numFmtId="0" fontId="41" fillId="8" borderId="7" xfId="0" applyFont="1" applyFill="1" applyBorder="1" applyAlignment="1">
      <alignment horizontal="left" vertical="center"/>
    </xf>
    <xf numFmtId="0" fontId="64" fillId="3" borderId="32" xfId="0" applyFont="1" applyFill="1" applyBorder="1" applyAlignment="1">
      <alignment horizontal="center"/>
    </xf>
    <xf numFmtId="0" fontId="64" fillId="3" borderId="33" xfId="0" applyFont="1" applyFill="1" applyBorder="1" applyAlignment="1">
      <alignment horizontal="center"/>
    </xf>
    <xf numFmtId="0" fontId="64" fillId="3" borderId="34" xfId="0" applyFont="1" applyFill="1" applyBorder="1" applyAlignment="1">
      <alignment horizontal="center"/>
    </xf>
    <xf numFmtId="0" fontId="19" fillId="0" borderId="2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65" fillId="4" borderId="5" xfId="0" applyFont="1" applyFill="1" applyBorder="1" applyAlignment="1">
      <alignment horizontal="center" vertical="center"/>
    </xf>
    <xf numFmtId="0" fontId="65" fillId="4" borderId="7" xfId="0" applyFont="1" applyFill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70" fillId="0" borderId="16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2" fillId="0" borderId="26" xfId="0" applyFont="1" applyBorder="1" applyAlignment="1">
      <alignment horizontal="left" vertical="center"/>
    </xf>
    <xf numFmtId="0" fontId="72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75" fillId="0" borderId="6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78" fillId="3" borderId="26" xfId="0" applyFont="1" applyFill="1" applyBorder="1" applyAlignment="1">
      <alignment horizontal="left"/>
    </xf>
    <xf numFmtId="0" fontId="78" fillId="3" borderId="7" xfId="0" applyFont="1" applyFill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1" fillId="0" borderId="26" xfId="0" applyFont="1" applyBorder="1" applyAlignment="1">
      <alignment horizontal="center"/>
    </xf>
    <xf numFmtId="0" fontId="81" fillId="0" borderId="7" xfId="0" applyFont="1" applyBorder="1" applyAlignment="1">
      <alignment horizontal="center"/>
    </xf>
    <xf numFmtId="0" fontId="82" fillId="3" borderId="26" xfId="0" applyFont="1" applyFill="1" applyBorder="1" applyAlignment="1">
      <alignment horizontal="left" vertical="center"/>
    </xf>
    <xf numFmtId="0" fontId="82" fillId="3" borderId="7" xfId="0" applyFont="1" applyFill="1" applyBorder="1" applyAlignment="1">
      <alignment horizontal="left" vertical="center"/>
    </xf>
    <xf numFmtId="0" fontId="83" fillId="3" borderId="26" xfId="0" applyFont="1" applyFill="1" applyBorder="1" applyAlignment="1">
      <alignment horizontal="left" vertical="center"/>
    </xf>
    <xf numFmtId="0" fontId="83" fillId="3" borderId="7" xfId="0" applyFont="1" applyFill="1" applyBorder="1" applyAlignment="1">
      <alignment horizontal="left" vertical="center"/>
    </xf>
    <xf numFmtId="1" fontId="84" fillId="6" borderId="26" xfId="0" applyNumberFormat="1" applyFont="1" applyFill="1" applyBorder="1" applyAlignment="1">
      <alignment horizontal="left" vertical="center"/>
    </xf>
    <xf numFmtId="1" fontId="84" fillId="6" borderId="7" xfId="0" applyNumberFormat="1" applyFont="1" applyFill="1" applyBorder="1" applyAlignment="1">
      <alignment horizontal="left" vertical="center"/>
    </xf>
    <xf numFmtId="0" fontId="15" fillId="0" borderId="2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5" borderId="26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left"/>
    </xf>
    <xf numFmtId="0" fontId="85" fillId="0" borderId="26" xfId="0" applyFont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0" fontId="85" fillId="0" borderId="7" xfId="0" applyFont="1" applyBorder="1" applyAlignment="1">
      <alignment horizontal="center" vertical="center"/>
    </xf>
    <xf numFmtId="0" fontId="86" fillId="7" borderId="5" xfId="0" applyFont="1" applyFill="1" applyBorder="1" applyAlignment="1">
      <alignment horizontal="center"/>
    </xf>
    <xf numFmtId="0" fontId="86" fillId="7" borderId="6" xfId="0" applyFont="1" applyFill="1" applyBorder="1" applyAlignment="1">
      <alignment horizontal="center"/>
    </xf>
    <xf numFmtId="0" fontId="86" fillId="7" borderId="7" xfId="0" applyFont="1" applyFill="1" applyBorder="1" applyAlignment="1">
      <alignment horizontal="center"/>
    </xf>
    <xf numFmtId="0" fontId="12" fillId="0" borderId="2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8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5" fillId="0" borderId="5" xfId="0" applyFont="1" applyBorder="1" applyAlignment="1">
      <alignment horizontal="left" vertical="center"/>
    </xf>
    <xf numFmtId="0" fontId="88" fillId="0" borderId="26" xfId="0" applyFont="1" applyBorder="1" applyAlignment="1">
      <alignment horizontal="left" vertical="center"/>
    </xf>
    <xf numFmtId="0" fontId="88" fillId="0" borderId="7" xfId="0" applyFont="1" applyBorder="1" applyAlignment="1">
      <alignment horizontal="left" vertical="center"/>
    </xf>
    <xf numFmtId="0" fontId="47" fillId="0" borderId="26" xfId="0" applyFont="1" applyBorder="1" applyAlignment="1">
      <alignment vertical="center"/>
    </xf>
    <xf numFmtId="0" fontId="47" fillId="0" borderId="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7" fillId="0" borderId="26" xfId="0" applyFont="1" applyBorder="1" applyAlignment="1">
      <alignment horizontal="left" vertical="center"/>
    </xf>
    <xf numFmtId="0" fontId="89" fillId="0" borderId="26" xfId="0" applyFont="1" applyBorder="1" applyAlignment="1">
      <alignment horizontal="left" vertical="center"/>
    </xf>
    <xf numFmtId="0" fontId="89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0" fillId="0" borderId="6" xfId="0" applyFont="1" applyBorder="1" applyAlignment="1">
      <alignment horizontal="center" vertical="center"/>
    </xf>
    <xf numFmtId="0" fontId="90" fillId="0" borderId="7" xfId="0" applyFont="1" applyBorder="1" applyAlignment="1">
      <alignment horizontal="center" vertical="center"/>
    </xf>
    <xf numFmtId="0" fontId="90" fillId="0" borderId="5" xfId="0" applyFont="1" applyBorder="1" applyAlignment="1">
      <alignment vertical="center"/>
    </xf>
    <xf numFmtId="0" fontId="90" fillId="0" borderId="6" xfId="0" applyFont="1" applyBorder="1" applyAlignment="1">
      <alignment vertical="center"/>
    </xf>
    <xf numFmtId="0" fontId="90" fillId="0" borderId="7" xfId="0" applyFont="1" applyBorder="1" applyAlignment="1">
      <alignment vertical="center"/>
    </xf>
    <xf numFmtId="0" fontId="86" fillId="7" borderId="6" xfId="0" applyFont="1" applyFill="1" applyBorder="1" applyAlignment="1">
      <alignment horizontal="center" vertical="center"/>
    </xf>
    <xf numFmtId="0" fontId="86" fillId="7" borderId="7" xfId="0" applyFont="1" applyFill="1" applyBorder="1" applyAlignment="1">
      <alignment horizontal="center" vertical="center"/>
    </xf>
    <xf numFmtId="0" fontId="91" fillId="7" borderId="5" xfId="0" applyFont="1" applyFill="1" applyBorder="1" applyAlignment="1">
      <alignment horizontal="center" vertical="center"/>
    </xf>
    <xf numFmtId="0" fontId="91" fillId="7" borderId="6" xfId="0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92" fillId="0" borderId="26" xfId="0" applyFont="1" applyBorder="1" applyAlignment="1">
      <alignment horizontal="left" vertical="center"/>
    </xf>
    <xf numFmtId="0" fontId="92" fillId="0" borderId="7" xfId="0" applyFont="1" applyBorder="1" applyAlignment="1">
      <alignment horizontal="left" vertical="center"/>
    </xf>
    <xf numFmtId="0" fontId="75" fillId="0" borderId="6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4" fillId="3" borderId="26" xfId="0" applyFont="1" applyFill="1" applyBorder="1" applyAlignment="1">
      <alignment horizontal="center" vertical="center"/>
    </xf>
    <xf numFmtId="0" fontId="94" fillId="3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left" vertical="center"/>
    </xf>
    <xf numFmtId="0" fontId="94" fillId="3" borderId="26" xfId="0" applyFont="1" applyFill="1" applyBorder="1" applyAlignment="1">
      <alignment horizontal="center"/>
    </xf>
    <xf numFmtId="0" fontId="94" fillId="3" borderId="7" xfId="0" applyFont="1" applyFill="1" applyBorder="1" applyAlignment="1">
      <alignment horizontal="center"/>
    </xf>
    <xf numFmtId="0" fontId="96" fillId="2" borderId="9" xfId="0" applyFont="1" applyFill="1" applyBorder="1" applyAlignment="1">
      <alignment horizontal="center"/>
    </xf>
    <xf numFmtId="0" fontId="96" fillId="2" borderId="0" xfId="0" applyFont="1" applyFill="1" applyBorder="1" applyAlignment="1">
      <alignment horizontal="center"/>
    </xf>
    <xf numFmtId="0" fontId="76" fillId="11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double"/>
        <strike/>
        <color rgb="FF99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workbookViewId="0" topLeftCell="A1">
      <selection activeCell="C49" sqref="C49"/>
    </sheetView>
  </sheetViews>
  <sheetFormatPr defaultColWidth="9.140625" defaultRowHeight="12.75"/>
  <cols>
    <col min="2" max="2" width="8.8515625" style="0" customWidth="1"/>
    <col min="3" max="4" width="8.28125" style="0" customWidth="1"/>
    <col min="5" max="5" width="7.8515625" style="0" customWidth="1"/>
    <col min="6" max="6" width="8.421875" style="0" customWidth="1"/>
    <col min="7" max="9" width="8.140625" style="0" customWidth="1"/>
    <col min="10" max="10" width="8.28125" style="0" customWidth="1"/>
    <col min="11" max="11" width="8.140625" style="0" customWidth="1"/>
    <col min="12" max="13" width="8.28125" style="0" customWidth="1"/>
    <col min="14" max="14" width="7.8515625" style="0" customWidth="1"/>
    <col min="15" max="15" width="8.00390625" style="0" customWidth="1"/>
    <col min="16" max="16" width="7.57421875" style="0" customWidth="1"/>
    <col min="17" max="17" width="8.140625" style="0" customWidth="1"/>
  </cols>
  <sheetData>
    <row r="1" spans="1:17" ht="18.75" thickBot="1">
      <c r="A1" s="185" t="s">
        <v>216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</row>
    <row r="2" spans="1:17" ht="12.75">
      <c r="A2" s="188" t="s">
        <v>1</v>
      </c>
      <c r="B2" s="189"/>
      <c r="C2" s="189"/>
      <c r="D2" s="189"/>
      <c r="E2" s="189"/>
      <c r="F2" s="189"/>
      <c r="G2" s="189"/>
      <c r="H2" s="189"/>
      <c r="I2" s="2"/>
      <c r="J2" s="3" t="s">
        <v>2</v>
      </c>
      <c r="K2" s="4"/>
      <c r="L2" s="4"/>
      <c r="M2" s="4"/>
      <c r="N2" s="4"/>
      <c r="O2" s="4"/>
      <c r="P2" s="4"/>
      <c r="Q2" s="5"/>
    </row>
    <row r="3" spans="1:17" ht="12.75">
      <c r="A3" s="190" t="s">
        <v>3</v>
      </c>
      <c r="B3" s="189"/>
      <c r="C3" s="189"/>
      <c r="D3" s="189"/>
      <c r="E3" s="189"/>
      <c r="F3" s="189"/>
      <c r="G3" s="189"/>
      <c r="H3" s="189"/>
      <c r="I3" s="2"/>
      <c r="J3" s="1" t="s">
        <v>4</v>
      </c>
      <c r="K3" s="6"/>
      <c r="L3" s="6"/>
      <c r="M3" s="6"/>
      <c r="N3" s="7"/>
      <c r="O3" s="1"/>
      <c r="P3" s="8"/>
      <c r="Q3" s="9"/>
    </row>
    <row r="4" spans="1:17" ht="12.75">
      <c r="A4" s="10" t="s">
        <v>5</v>
      </c>
      <c r="B4" s="1"/>
      <c r="C4" s="1"/>
      <c r="D4" s="1"/>
      <c r="E4" s="1"/>
      <c r="F4" s="1"/>
      <c r="G4" s="7"/>
      <c r="H4" s="7"/>
      <c r="I4" s="11"/>
      <c r="J4" s="1" t="s">
        <v>6</v>
      </c>
      <c r="K4" s="1"/>
      <c r="L4" s="1"/>
      <c r="M4" s="1"/>
      <c r="N4" s="1"/>
      <c r="O4" s="1"/>
      <c r="P4" s="12"/>
      <c r="Q4" s="13"/>
    </row>
    <row r="5" spans="1:17" ht="16.5">
      <c r="A5" s="14" t="s">
        <v>7</v>
      </c>
      <c r="B5" s="15"/>
      <c r="C5" s="16"/>
      <c r="D5" s="16"/>
      <c r="E5" s="17"/>
      <c r="F5" s="191" t="str">
        <f>IF(O9=1," MALE","FEMALE")</f>
        <v> MALE</v>
      </c>
      <c r="G5" s="192"/>
      <c r="H5" s="193" t="s">
        <v>223</v>
      </c>
      <c r="I5" s="194"/>
      <c r="J5" s="6" t="s">
        <v>9</v>
      </c>
      <c r="K5" s="1"/>
      <c r="L5" s="1"/>
      <c r="M5" s="1"/>
      <c r="N5" s="1"/>
      <c r="O5" s="1"/>
      <c r="P5" s="1"/>
      <c r="Q5" s="9"/>
    </row>
    <row r="6" spans="1:17" ht="12.75">
      <c r="A6" s="20" t="s">
        <v>10</v>
      </c>
      <c r="B6" s="8"/>
      <c r="C6" s="8"/>
      <c r="D6" s="8"/>
      <c r="E6" s="8"/>
      <c r="F6" s="8"/>
      <c r="G6" s="8"/>
      <c r="H6" s="8"/>
      <c r="I6" s="21"/>
      <c r="J6" s="22" t="s">
        <v>11</v>
      </c>
      <c r="K6" s="10"/>
      <c r="L6" s="10"/>
      <c r="M6" s="10"/>
      <c r="N6" s="10"/>
      <c r="O6" s="10"/>
      <c r="P6" s="22"/>
      <c r="Q6" s="23"/>
    </row>
    <row r="7" spans="1:17" ht="12.75">
      <c r="A7" s="195" t="s">
        <v>215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24">
        <v>2</v>
      </c>
      <c r="P7" s="25"/>
      <c r="Q7" s="13"/>
    </row>
    <row r="8" spans="1:17" ht="15.75">
      <c r="A8" s="198" t="s">
        <v>222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4">
        <v>2</v>
      </c>
      <c r="P8" s="26"/>
      <c r="Q8" s="13"/>
    </row>
    <row r="9" spans="1:17" ht="15.75">
      <c r="A9" s="198" t="s">
        <v>214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4">
        <v>1</v>
      </c>
      <c r="P9" s="26"/>
      <c r="Q9" s="13"/>
    </row>
    <row r="10" spans="1:17" ht="15.75">
      <c r="A10" s="200" t="s">
        <v>15</v>
      </c>
      <c r="B10" s="201"/>
      <c r="C10" s="201"/>
      <c r="D10" s="201"/>
      <c r="E10" s="201"/>
      <c r="F10" s="202" t="s">
        <v>16</v>
      </c>
      <c r="G10" s="202"/>
      <c r="H10" s="202"/>
      <c r="I10" s="202"/>
      <c r="J10" s="202"/>
      <c r="K10" s="202"/>
      <c r="L10" s="202"/>
      <c r="M10" s="202"/>
      <c r="N10" s="203"/>
      <c r="O10" s="24">
        <v>2</v>
      </c>
      <c r="P10" s="26"/>
      <c r="Q10" s="13"/>
    </row>
    <row r="11" spans="1:17" ht="15.75">
      <c r="A11" s="200" t="s">
        <v>17</v>
      </c>
      <c r="B11" s="201"/>
      <c r="C11" s="201"/>
      <c r="D11" s="201"/>
      <c r="E11" s="201"/>
      <c r="F11" s="202" t="s">
        <v>18</v>
      </c>
      <c r="G11" s="202"/>
      <c r="H11" s="202"/>
      <c r="I11" s="202"/>
      <c r="J11" s="202"/>
      <c r="K11" s="202"/>
      <c r="L11" s="202"/>
      <c r="M11" s="202"/>
      <c r="N11" s="203"/>
      <c r="O11" s="24">
        <v>0</v>
      </c>
      <c r="P11" s="26"/>
      <c r="Q11" s="13"/>
    </row>
    <row r="12" spans="1:17" ht="12.75">
      <c r="A12" s="204" t="s">
        <v>19</v>
      </c>
      <c r="B12" s="205"/>
      <c r="C12" s="181" t="s">
        <v>135</v>
      </c>
      <c r="D12" s="181" t="s">
        <v>203</v>
      </c>
      <c r="E12" s="181" t="s">
        <v>204</v>
      </c>
      <c r="F12" s="181" t="s">
        <v>205</v>
      </c>
      <c r="G12" s="181" t="s">
        <v>206</v>
      </c>
      <c r="H12" s="181" t="s">
        <v>207</v>
      </c>
      <c r="I12" s="181" t="s">
        <v>208</v>
      </c>
      <c r="J12" s="181" t="s">
        <v>209</v>
      </c>
      <c r="K12" s="181" t="s">
        <v>210</v>
      </c>
      <c r="L12" s="181" t="s">
        <v>211</v>
      </c>
      <c r="M12" s="181" t="s">
        <v>212</v>
      </c>
      <c r="N12" s="181" t="s">
        <v>213</v>
      </c>
      <c r="O12" s="182" t="s">
        <v>32</v>
      </c>
      <c r="P12" s="29"/>
      <c r="Q12" s="13"/>
    </row>
    <row r="13" spans="1:17" ht="12.75">
      <c r="A13" s="206" t="s">
        <v>33</v>
      </c>
      <c r="B13" s="207"/>
      <c r="C13" s="30">
        <v>0</v>
      </c>
      <c r="D13" s="31">
        <f aca="true" t="shared" si="0" ref="D13:F15">C13</f>
        <v>0</v>
      </c>
      <c r="E13" s="31">
        <f t="shared" si="0"/>
        <v>0</v>
      </c>
      <c r="F13" s="31">
        <f t="shared" si="0"/>
        <v>0</v>
      </c>
      <c r="G13" s="31">
        <f>CEILING((INT((C13)+(C13+C14)*3%)),10)</f>
        <v>0</v>
      </c>
      <c r="H13" s="31">
        <f>G13</f>
        <v>0</v>
      </c>
      <c r="I13" s="31">
        <f aca="true" t="shared" si="1" ref="H13:N16">H13</f>
        <v>0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2">
        <f>SUM(C13:N13)</f>
        <v>0</v>
      </c>
      <c r="P13" s="29"/>
      <c r="Q13" s="33"/>
    </row>
    <row r="14" spans="1:17" ht="12.75">
      <c r="A14" s="206" t="s">
        <v>34</v>
      </c>
      <c r="B14" s="207"/>
      <c r="C14" s="30">
        <v>0</v>
      </c>
      <c r="D14" s="31">
        <f t="shared" si="0"/>
        <v>0</v>
      </c>
      <c r="E14" s="31">
        <f t="shared" si="0"/>
        <v>0</v>
      </c>
      <c r="F14" s="31">
        <f t="shared" si="0"/>
        <v>0</v>
      </c>
      <c r="G14" s="31">
        <f>F14</f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2">
        <f>SUM(C14:N14)</f>
        <v>0</v>
      </c>
      <c r="P14" s="29"/>
      <c r="Q14" s="33"/>
    </row>
    <row r="15" spans="1:17" ht="12.75">
      <c r="A15" s="206" t="s">
        <v>35</v>
      </c>
      <c r="B15" s="207"/>
      <c r="C15" s="30"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>F15</f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>M15</f>
        <v>0</v>
      </c>
      <c r="O15" s="32">
        <f>SUM(C15:N15)</f>
        <v>0</v>
      </c>
      <c r="P15" s="29"/>
      <c r="Q15" s="33"/>
    </row>
    <row r="16" spans="1:17" ht="12.75">
      <c r="A16" s="206" t="s">
        <v>36</v>
      </c>
      <c r="B16" s="207"/>
      <c r="C16" s="31">
        <v>45</v>
      </c>
      <c r="D16" s="31">
        <f>C16</f>
        <v>45</v>
      </c>
      <c r="E16" s="31">
        <f>D16</f>
        <v>45</v>
      </c>
      <c r="F16" s="31">
        <f>E16</f>
        <v>45</v>
      </c>
      <c r="G16" s="31">
        <f>F16</f>
        <v>45</v>
      </c>
      <c r="H16" s="31">
        <f t="shared" si="1"/>
        <v>45</v>
      </c>
      <c r="I16" s="31">
        <f t="shared" si="1"/>
        <v>45</v>
      </c>
      <c r="J16" s="34">
        <f>I16</f>
        <v>45</v>
      </c>
      <c r="K16" s="31">
        <f t="shared" si="1"/>
        <v>45</v>
      </c>
      <c r="L16" s="31">
        <f t="shared" si="1"/>
        <v>45</v>
      </c>
      <c r="M16" s="31">
        <f t="shared" si="1"/>
        <v>45</v>
      </c>
      <c r="N16" s="31">
        <f t="shared" si="1"/>
        <v>45</v>
      </c>
      <c r="O16" s="32"/>
      <c r="P16" s="8"/>
      <c r="Q16" s="33"/>
    </row>
    <row r="17" spans="1:17" ht="12.75">
      <c r="A17" s="206" t="s">
        <v>37</v>
      </c>
      <c r="B17" s="207"/>
      <c r="C17" s="35">
        <f>ROUND(((C13+C14+C21)*C16%),0)</f>
        <v>0</v>
      </c>
      <c r="D17" s="35">
        <f aca="true" t="shared" si="2" ref="D17:N17">ROUND(((D13+D14+D21)*D16%),0)</f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6">
        <f>SUM(C17:N17)</f>
        <v>0</v>
      </c>
      <c r="P17" s="8"/>
      <c r="Q17" s="37"/>
    </row>
    <row r="18" spans="1:17" ht="12.75">
      <c r="A18" s="206" t="s">
        <v>38</v>
      </c>
      <c r="B18" s="207"/>
      <c r="C18" s="35">
        <f>IF(O8=1,ROUND(((C13+C14)*30%),0),IF(O8=2,ROUND(((C13+C14)*20%),0),IF(O8=3,ROUND(((C13+C14)*10%),0),(0))))</f>
        <v>0</v>
      </c>
      <c r="D18" s="35">
        <f>IF(O8=1,MROUND(((D13+D14)*30%),1),IF(O8=2,MROUND(((D13+D14)*20%),1),IF(O8=3,MROUND(((D13+D14)*10%),1),(0))))</f>
        <v>0</v>
      </c>
      <c r="E18" s="35">
        <f>IF(O8=1,MROUND(((E13+E14)*30%),1),IF(O8=2,MROUND(((E13+E14)*20%),1),IF(O8=3,MROUND(((E13+E14)*10%),1),(0))))</f>
        <v>0</v>
      </c>
      <c r="F18" s="35">
        <f>IF(O8=1,MROUND(((F13+F14)*30%),1),IF(O8=2,MROUND(((F13+F14)*20%),1),IF(O8=3,MROUND(((F13+F14)*10%),1),(0))))</f>
        <v>0</v>
      </c>
      <c r="G18" s="35">
        <f>IF(O8=1,MROUND(((G13+G14)*30%),1),IF(O8=2,MROUND(((G13+G14)*20%),1),IF(O8=3,MROUND(((G13+G14)*10%),1),(0))))</f>
        <v>0</v>
      </c>
      <c r="H18" s="35">
        <f>IF(O8=1,MROUND(((H13+H14)*30%),1),IF(O8=2,MROUND(((H13+H14)*20%),1),IF(O8=3,MROUND(((H13+H14)*10%),1),(0))))</f>
        <v>0</v>
      </c>
      <c r="I18" s="35">
        <f>IF(O8=1,MROUND(((I13+I14)*30%),1),IF(O8=2,MROUND(((I13+I14)*20%),1),IF(O8=3,MROUND(((I13+I14)*10%),1),(0))))</f>
        <v>0</v>
      </c>
      <c r="J18" s="35">
        <f>IF(O8=1,MROUND(((J13+J14)*30%),1),IF(O8=2,MROUND(((J13+J14)*20%),1),IF(O8=3,MROUND(((J13+J14)*10%),1),(0))))</f>
        <v>0</v>
      </c>
      <c r="K18" s="35">
        <f>IF(O8=1,MROUND(((K13+K14)*30%),1),IF(O8=2,MROUND(((K13+K14)*20%),1),IF(O8=3,MROUND(((K13+K14)*10%),1),(0))))</f>
        <v>0</v>
      </c>
      <c r="L18" s="35">
        <f>IF(O8=1,MROUND(((L13+L14)*30%),1),IF(O8=2,MROUND(((L13+L14)*20%),1),IF(O8=3,MROUND(((L13+L14)*10%),1),(0))))</f>
        <v>0</v>
      </c>
      <c r="M18" s="35">
        <f>IF(O8=1,MROUND(((M13+M14)*30%),1),IF(O8=2,MROUND(((M13+M14)*20%),1),IF(O8=3,MROUND(((M13+M14)*10%),1),(0))))</f>
        <v>0</v>
      </c>
      <c r="N18" s="35">
        <f>IF(O8=1,MROUND(((N13+N14)*30%),1),IF(O8=2,MROUND(((N13+N14)*20%),1),IF(O8=3,MROUND(((N13+N14)*10%),1),(0))))</f>
        <v>0</v>
      </c>
      <c r="O18" s="36">
        <f>SUM(C18:N18)</f>
        <v>0</v>
      </c>
      <c r="P18" s="29"/>
      <c r="Q18" s="13"/>
    </row>
    <row r="19" spans="1:17" ht="12.75">
      <c r="A19" s="206" t="s">
        <v>39</v>
      </c>
      <c r="B19" s="207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6">
        <f>SUM(C19:N19)</f>
        <v>0</v>
      </c>
      <c r="P19" s="29"/>
      <c r="Q19" s="38"/>
    </row>
    <row r="20" spans="1:17" ht="12.75">
      <c r="A20" s="206" t="s">
        <v>225</v>
      </c>
      <c r="B20" s="207"/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6">
        <f>SUM(C20:N20)</f>
        <v>0</v>
      </c>
      <c r="P20" s="8"/>
      <c r="Q20" s="33"/>
    </row>
    <row r="21" spans="1:17" ht="12.75">
      <c r="A21" s="206" t="s">
        <v>226</v>
      </c>
      <c r="B21" s="207"/>
      <c r="C21" s="31">
        <f>IF(O11=1,ROUND(((C13+C14)*25%),0),(0))</f>
        <v>0</v>
      </c>
      <c r="D21" s="31">
        <f>IF(O11=1,ROUND(((D13+D14)*25%),0),(0))</f>
        <v>0</v>
      </c>
      <c r="E21" s="31">
        <f>IF(O11=1,ROUND(((E13+E14)*25%),0),(0))</f>
        <v>0</v>
      </c>
      <c r="F21" s="31">
        <f>IF(O11=1,ROUND(((F13+F14)*25%),0),(0))</f>
        <v>0</v>
      </c>
      <c r="G21" s="31">
        <f>IF(O11=1,ROUND(((G13+G14)*25%),0),(0))</f>
        <v>0</v>
      </c>
      <c r="H21" s="31">
        <f>IF(O11=1,ROUND(((H13+H14)*25%),0),(0))</f>
        <v>0</v>
      </c>
      <c r="I21" s="31">
        <f>IF(O11=1,ROUND(((I13+I14)*25%),0),(0))</f>
        <v>0</v>
      </c>
      <c r="J21" s="31">
        <f>IF(O11=1,ROUND(((J13+J14)*25%),0),(0))</f>
        <v>0</v>
      </c>
      <c r="K21" s="31">
        <f>IF(O11=1,ROUND(((K13+K14)*25%),0),(0))</f>
        <v>0</v>
      </c>
      <c r="L21" s="31">
        <f>IF(O11=1,ROUND(((L13+L14)*25%),0),(0))</f>
        <v>0</v>
      </c>
      <c r="M21" s="31">
        <f>IF(O11=1,ROUND(((M13+M14)*25%),0),(0))</f>
        <v>0</v>
      </c>
      <c r="N21" s="31">
        <f>IF(O11=1,ROUND(((N13+N14)*25%),0),(0))</f>
        <v>0</v>
      </c>
      <c r="O21" s="36">
        <f aca="true" t="shared" si="3" ref="O21:O29">SUM(C21:N21)</f>
        <v>0</v>
      </c>
      <c r="P21" s="8"/>
      <c r="Q21" s="33"/>
    </row>
    <row r="22" spans="1:17" ht="12.75">
      <c r="A22" s="206" t="s">
        <v>42</v>
      </c>
      <c r="B22" s="207"/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9">
        <f t="shared" si="3"/>
        <v>0</v>
      </c>
      <c r="P22" s="8"/>
      <c r="Q22" s="33"/>
    </row>
    <row r="23" spans="1:17" ht="12.75">
      <c r="A23" s="179" t="s">
        <v>227</v>
      </c>
      <c r="B23" s="208"/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6">
        <f t="shared" si="3"/>
        <v>0</v>
      </c>
      <c r="P23" s="8"/>
      <c r="Q23" s="33"/>
    </row>
    <row r="24" spans="1:17" ht="12.75">
      <c r="A24" s="206" t="s">
        <v>44</v>
      </c>
      <c r="B24" s="207"/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6">
        <f t="shared" si="3"/>
        <v>0</v>
      </c>
      <c r="P24" s="8"/>
      <c r="Q24" s="33"/>
    </row>
    <row r="25" spans="1:17" ht="12.75">
      <c r="A25" s="206" t="s">
        <v>45</v>
      </c>
      <c r="B25" s="207"/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6">
        <f t="shared" si="3"/>
        <v>0</v>
      </c>
      <c r="P25" s="8"/>
      <c r="Q25" s="33"/>
    </row>
    <row r="26" spans="1:17" ht="12.75">
      <c r="A26" s="209"/>
      <c r="B26" s="210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6">
        <f t="shared" si="3"/>
        <v>0</v>
      </c>
      <c r="P26" s="8"/>
      <c r="Q26" s="33"/>
    </row>
    <row r="27" spans="1:17" ht="12.75">
      <c r="A27" s="211"/>
      <c r="B27" s="212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6">
        <f t="shared" si="3"/>
        <v>0</v>
      </c>
      <c r="P27" s="8"/>
      <c r="Q27" s="33"/>
    </row>
    <row r="28" spans="1:17" ht="12.75">
      <c r="A28" s="211"/>
      <c r="B28" s="212"/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6">
        <f t="shared" si="3"/>
        <v>0</v>
      </c>
      <c r="P28" s="8"/>
      <c r="Q28" s="33"/>
    </row>
    <row r="29" spans="1:17" ht="12.75">
      <c r="A29" s="211"/>
      <c r="B29" s="212"/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6">
        <f t="shared" si="3"/>
        <v>0</v>
      </c>
      <c r="P29" s="8"/>
      <c r="Q29" s="33"/>
    </row>
    <row r="30" spans="1:17" ht="13.5">
      <c r="A30" s="213" t="s">
        <v>46</v>
      </c>
      <c r="B30" s="214"/>
      <c r="C30" s="40">
        <f>SUM(C13:C15)+SUM(C17:C29)</f>
        <v>0</v>
      </c>
      <c r="D30" s="40">
        <f aca="true" t="shared" si="4" ref="D30:N30">SUM(D13:D15)+SUM(D17:D29)</f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39">
        <f aca="true" t="shared" si="5" ref="O30:O38">SUM(C30:N30)</f>
        <v>0</v>
      </c>
      <c r="P30" s="41"/>
      <c r="Q30" s="33"/>
    </row>
    <row r="31" spans="1:17" ht="12.75">
      <c r="A31" s="206" t="s">
        <v>47</v>
      </c>
      <c r="B31" s="207"/>
      <c r="C31" s="35">
        <f>IF(O7=2,IF(C14=0,0,IF(AND(C14&gt;0,C14&lt;4200),(400+400*C16%),IF(AND(C14&gt;=4200,C14&lt;=4800),(800+800*C16%),(1600+1600*C16%)))),IF(O7=1,IF(C14=0,0,IF(AND(C14&gt;0,C14&lt;4200),(600+600*C16%),IF(AND(C14&gt;=4200,C14&lt;=4800),(1600+1600*C16%),(3200+3200*C16%))))))</f>
        <v>0</v>
      </c>
      <c r="D31" s="35">
        <f>IF(O7=2,IF(D14=0,0,IF(AND(D14&gt;0,D14&lt;4200),(400+400*D16%),IF(AND(D14&gt;=4200,D14&lt;=4800),(800+800*D16%),(1600+1600*D16%)))),IF(O7=1,IF(D14=0,0,IF(AND(D14&gt;0,D14&lt;4200),(600+600*D16%),IF(AND(D14&gt;=4200,D14&lt;=4800),(1600+1600*D16%),(3200+3200*D16%))))))</f>
        <v>0</v>
      </c>
      <c r="E31" s="35">
        <f>IF(O7=2,IF(E14=0,0,IF(AND(E14&gt;0,E14&lt;4200),(400+400*E16%),IF(AND(E14&gt;=4200,E14&lt;=4800),(800+800*E16%),(1600+1600*E16%)))),IF(O7=1,IF(E14=0,0,IF(AND(E14&gt;0,E14&lt;4200),(600+600*E16%),IF(AND(E14&gt;=4200,E14&lt;=4800),(1600+1600*E16%),(3200+3200*E16%))))))</f>
        <v>0</v>
      </c>
      <c r="F31" s="35">
        <f>IF(O7=2,IF(F14=0,0,IF(AND(F14&gt;0,F14&lt;4200),(400+400*F16%),IF(AND(F14&gt;=4200,F14&lt;=4800),(800+800*F16%),(1600+1600*F16%)))),IF(O7=1,IF(F14=0,0,IF(AND(F14&gt;0,F14&lt;4200),(600+600*F16%),IF(AND(F14&gt;=4200,F14&lt;=4800),(1600+1600*F16%),(3200+3200*F16%))))))</f>
        <v>0</v>
      </c>
      <c r="G31" s="35">
        <f>IF(O7=2,IF(G14=0,0,IF(AND(G14&gt;0,G14&lt;4200),(400+400*G16%),IF(AND(G14&gt;=4200,G14&lt;=4800),(800+800*G16%),(1600+1600*G16%)))),IF(O7=1,IF(G14=0,0,IF(AND(G14&gt;0,G14&lt;4200),(600+600*G16%),IF(AND(G14&gt;=4200,G14&lt;=4800),(1600+1600*G16%),(3200+3200*G16%))))))</f>
        <v>0</v>
      </c>
      <c r="H31" s="35">
        <f>IF(O7=2,IF(H14=0,0,IF(AND(H14&gt;0,H14&lt;4200),(400+400*H16%),IF(AND(H14&gt;=4200,H14&lt;=4800),(800+800*H16%),(1600+1600*H16%)))),IF(O7=1,IF(H14=0,0,IF(AND(H14&gt;0,H14&lt;4200),(600+600*H16%),IF(AND(H14&gt;=4200,H14&lt;=4800),(1600+1600*H16%),(3200+3200*H16%))))))</f>
        <v>0</v>
      </c>
      <c r="I31" s="35">
        <f>IF(O7=2,IF(I14=0,0,IF(AND(I14&gt;0,I14&lt;4200),(400+400*I16%),IF(AND(I14&gt;=4200,I14&lt;=4800),(800+800*I16%),(1600+1600*I16%)))),IF(O7=1,IF(I14=0,0,IF(AND(I14&gt;0,I14&lt;4200),(600+600*I16%),IF(AND(I14&gt;=4200,I14&lt;=4800),(1600+1600*I16%),(3200+3200*I16%))))))</f>
        <v>0</v>
      </c>
      <c r="J31" s="35">
        <f>IF(O7=2,IF(J14=0,0,IF(AND(J14&gt;0,J14&lt;4200),(400+400*J16%),IF(AND(J14&gt;=4200,J14&lt;=4800),(800+800*J16%),(1600+1600*J16%)))),IF(O7=1,IF(J14=0,0,IF(AND(J14&gt;0,J14&lt;4200),(600+600*J16%),IF(AND(J14&gt;=4200,J14&lt;=4800),(1600+1600*J16%),(3200+3200*J16%))))))</f>
        <v>0</v>
      </c>
      <c r="K31" s="35">
        <f>IF(O7=2,IF(K14=0,0,IF(AND(K14&gt;0,K14&lt;4200),(400+400*K16%),IF(AND(K14&gt;=4200,K14&lt;=4800),(800+800*K16%),(1600+1600*K16%)))),IF(O7=1,IF(K14=0,0,IF(AND(K14&gt;0,K14&lt;4200),(600+600*K16%),IF(AND(K14&gt;=4200,K14&lt;=4800),(1600+1600*K16%),(3200+3200*K16%))))))</f>
        <v>0</v>
      </c>
      <c r="L31" s="35">
        <f>IF(O7=2,IF(L14=0,0,IF(AND(L14&gt;0,L14&lt;4200),(400+400*L16%),IF(AND(L14&gt;=4200,L14&lt;=4800),(800+800*L16%),(1600+1600*L16%)))),IF(O7=1,IF(L14=0,0,IF(AND(L14&gt;0,L14&lt;4200),(600+600*L16%),IF(AND(L14&gt;=4200,L14&lt;=4800),(1600+1600*L16%),(3200+3200*L16%))))))</f>
        <v>0</v>
      </c>
      <c r="M31" s="35">
        <f>IF(O7=2,IF(M14=0,0,IF(AND(M14&gt;0,M14&lt;4200),(400+400*M16%),IF(AND(M14&gt;=4200,M14&lt;=4800),(800+800*M16%),(1600+1600*M16%)))),IF(O7=1,IF(M14=0,0,IF(AND(M14&gt;0,M14&lt;4200),(600+600*M16%),IF(AND(M14&gt;=4200,M14&lt;=4800),(1600+1600*M16%),(3200+3200*M16%))))))</f>
        <v>0</v>
      </c>
      <c r="N31" s="35">
        <f>IF(O7=2,IF(N14=0,0,IF(AND(N14&gt;0,N14&lt;4200),(400+400*N16%),IF(AND(N14&gt;=4200,N14&lt;=4800),(800+800*N16%),(1600+1600*N16%)))),IF(O7=1,IF(N14=0,0,IF(AND(N14&gt;0,N14&lt;4200),(600+600*N16%),IF(AND(N14&gt;=4200,N14&lt;=4800),(1600+1600*N16%),(3200+3200*N16%))))))</f>
        <v>0</v>
      </c>
      <c r="O31" s="32">
        <f t="shared" si="5"/>
        <v>0</v>
      </c>
      <c r="P31" s="8"/>
      <c r="Q31" s="33"/>
    </row>
    <row r="32" spans="1:17" ht="12.75">
      <c r="A32" s="206" t="s">
        <v>48</v>
      </c>
      <c r="B32" s="207"/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2">
        <f t="shared" si="5"/>
        <v>0</v>
      </c>
      <c r="P32" s="8"/>
      <c r="Q32" s="33"/>
    </row>
    <row r="33" spans="1:17" ht="12.75">
      <c r="A33" s="206" t="s">
        <v>49</v>
      </c>
      <c r="B33" s="207"/>
      <c r="C33" s="42">
        <f>IF(O10=1,ROUND(((C13+C14)*30%),0),IF(O10=2,ROUND(((C13+C14)*15%),0),(0)))</f>
        <v>0</v>
      </c>
      <c r="D33" s="42">
        <f>IF(O10=1,ROUND(((D13+D14)*30%),0),IF(O10=2,ROUND(((D13+D14)*15%),0),(0)))</f>
        <v>0</v>
      </c>
      <c r="E33" s="42">
        <f>IF(O10=1,ROUND(((E13+E14)*30%),0),IF(O10=2,ROUND(((E13+E14)*15%),0),(0)))</f>
        <v>0</v>
      </c>
      <c r="F33" s="42">
        <f>IF(O10=1,ROUND(((F13+F14)*30%),0),IF(O10=2,ROUND(((F13+F14)*15%),0),(0)))</f>
        <v>0</v>
      </c>
      <c r="G33" s="42">
        <f>IF(O10=1,ROUND(((G13+G14)*30%),0),IF(O10=2,ROUND(((G13+G14)*15%),0),(0)))</f>
        <v>0</v>
      </c>
      <c r="H33" s="42">
        <f>IF(O10=1,ROUND(((H13+H14)*30%),0),IF(O10=2,ROUND(((H13+H14)*15%),0),(0)))</f>
        <v>0</v>
      </c>
      <c r="I33" s="42">
        <f>IF(O10=1,ROUND(((I13+I14)*30%),0),IF(O10=2,ROUND(((I13+I14)*15%),0),(0)))</f>
        <v>0</v>
      </c>
      <c r="J33" s="42">
        <f>IF(O10=1,ROUND(((J13+J14)*30%),0),IF(O10=2,ROUND(((J13+J14)*15%),0),(0)))</f>
        <v>0</v>
      </c>
      <c r="K33" s="42">
        <f>IF(O10=1,ROUND(((K13+K14)*30%),0),IF(O10=2,ROUND(((K13+K14)*15%),0),(0)))</f>
        <v>0</v>
      </c>
      <c r="L33" s="42">
        <f>IF(O10=1,ROUND(((L13+L14)*30%),0),IF(O10=2,ROUND(((L13+L14)*15%),0),(0)))</f>
        <v>0</v>
      </c>
      <c r="M33" s="42">
        <f>IF(O10=1,ROUND(((M13+M14)*30%),0),IF(O10=2,ROUND(((M13+M14)*15%),0),(0)))</f>
        <v>0</v>
      </c>
      <c r="N33" s="42">
        <f>IF(O10=1,ROUND(((N13+N14)*30%),0),IF(O10=2,ROUND(((N13+N14)*15%),0),(0)))</f>
        <v>0</v>
      </c>
      <c r="O33" s="32">
        <f t="shared" si="5"/>
        <v>0</v>
      </c>
      <c r="P33" s="8"/>
      <c r="Q33" s="33"/>
    </row>
    <row r="34" spans="1:17" ht="12.75">
      <c r="A34" s="206" t="s">
        <v>50</v>
      </c>
      <c r="B34" s="207"/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2">
        <f t="shared" si="5"/>
        <v>0</v>
      </c>
      <c r="P34" s="8"/>
      <c r="Q34" s="33"/>
    </row>
    <row r="35" spans="1:17" ht="12.75">
      <c r="A35" s="206"/>
      <c r="B35" s="207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2">
        <f t="shared" si="5"/>
        <v>0</v>
      </c>
      <c r="P35" s="8"/>
      <c r="Q35" s="33"/>
    </row>
    <row r="36" spans="1:17" ht="12.75">
      <c r="A36" s="206"/>
      <c r="B36" s="207"/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f t="shared" si="5"/>
        <v>0</v>
      </c>
      <c r="P36" s="8"/>
      <c r="Q36" s="33"/>
    </row>
    <row r="37" spans="1:17" ht="13.5">
      <c r="A37" s="213" t="s">
        <v>51</v>
      </c>
      <c r="B37" s="214"/>
      <c r="C37" s="40">
        <f>SUM(C31:C36)</f>
        <v>0</v>
      </c>
      <c r="D37" s="40">
        <f aca="true" t="shared" si="6" ref="D37:N37">SUM(D31:D36)</f>
        <v>0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0</v>
      </c>
      <c r="J37" s="40">
        <f t="shared" si="6"/>
        <v>0</v>
      </c>
      <c r="K37" s="40">
        <f t="shared" si="6"/>
        <v>0</v>
      </c>
      <c r="L37" s="40">
        <f t="shared" si="6"/>
        <v>0</v>
      </c>
      <c r="M37" s="40">
        <f t="shared" si="6"/>
        <v>0</v>
      </c>
      <c r="N37" s="40">
        <f t="shared" si="6"/>
        <v>0</v>
      </c>
      <c r="O37" s="36">
        <f t="shared" si="5"/>
        <v>0</v>
      </c>
      <c r="P37" s="8"/>
      <c r="Q37" s="33"/>
    </row>
    <row r="38" spans="1:17" ht="12.75">
      <c r="A38" s="215" t="s">
        <v>52</v>
      </c>
      <c r="B38" s="216"/>
      <c r="C38" s="43">
        <f aca="true" t="shared" si="7" ref="C38:N38">SUM(C30+C37)</f>
        <v>0</v>
      </c>
      <c r="D38" s="43">
        <f t="shared" si="7"/>
        <v>0</v>
      </c>
      <c r="E38" s="43">
        <f t="shared" si="7"/>
        <v>0</v>
      </c>
      <c r="F38" s="43">
        <f t="shared" si="7"/>
        <v>0</v>
      </c>
      <c r="G38" s="43">
        <f t="shared" si="7"/>
        <v>0</v>
      </c>
      <c r="H38" s="43">
        <f t="shared" si="7"/>
        <v>0</v>
      </c>
      <c r="I38" s="43">
        <f t="shared" si="7"/>
        <v>0</v>
      </c>
      <c r="J38" s="43">
        <f t="shared" si="7"/>
        <v>0</v>
      </c>
      <c r="K38" s="43">
        <f t="shared" si="7"/>
        <v>0</v>
      </c>
      <c r="L38" s="43">
        <f t="shared" si="7"/>
        <v>0</v>
      </c>
      <c r="M38" s="43">
        <f t="shared" si="7"/>
        <v>0</v>
      </c>
      <c r="N38" s="43">
        <f t="shared" si="7"/>
        <v>0</v>
      </c>
      <c r="O38" s="36">
        <f t="shared" si="5"/>
        <v>0</v>
      </c>
      <c r="P38" s="8"/>
      <c r="Q38" s="33"/>
    </row>
    <row r="39" spans="1:17" ht="12.75">
      <c r="A39" s="206" t="s">
        <v>53</v>
      </c>
      <c r="B39" s="207"/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9">
        <f>SUM(C39:N39)</f>
        <v>0</v>
      </c>
      <c r="P39" s="8"/>
      <c r="Q39" s="33"/>
    </row>
    <row r="40" spans="1:17" ht="12.75">
      <c r="A40" s="217" t="s">
        <v>54</v>
      </c>
      <c r="B40" s="218"/>
      <c r="C40" s="44">
        <f>SUM(C38:C39)</f>
        <v>0</v>
      </c>
      <c r="D40" s="44">
        <f aca="true" t="shared" si="8" ref="D40:N40">SUM(D38:D39)</f>
        <v>0</v>
      </c>
      <c r="E40" s="44">
        <f t="shared" si="8"/>
        <v>0</v>
      </c>
      <c r="F40" s="44">
        <f t="shared" si="8"/>
        <v>0</v>
      </c>
      <c r="G40" s="44">
        <f t="shared" si="8"/>
        <v>0</v>
      </c>
      <c r="H40" s="44">
        <f t="shared" si="8"/>
        <v>0</v>
      </c>
      <c r="I40" s="44">
        <f t="shared" si="8"/>
        <v>0</v>
      </c>
      <c r="J40" s="44">
        <f t="shared" si="8"/>
        <v>0</v>
      </c>
      <c r="K40" s="44">
        <f t="shared" si="8"/>
        <v>0</v>
      </c>
      <c r="L40" s="44">
        <f t="shared" si="8"/>
        <v>0</v>
      </c>
      <c r="M40" s="44">
        <f t="shared" si="8"/>
        <v>0</v>
      </c>
      <c r="N40" s="44">
        <f t="shared" si="8"/>
        <v>0</v>
      </c>
      <c r="O40" s="44">
        <f>SUM(C40:N40)</f>
        <v>0</v>
      </c>
      <c r="P40" s="8"/>
      <c r="Q40" s="33"/>
    </row>
    <row r="41" spans="1:17" ht="12.75">
      <c r="A41" s="204" t="s">
        <v>55</v>
      </c>
      <c r="B41" s="205"/>
      <c r="C41" s="20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8"/>
      <c r="Q41" s="33"/>
    </row>
    <row r="42" spans="1:17" ht="12.75">
      <c r="A42" s="206" t="s">
        <v>57</v>
      </c>
      <c r="B42" s="207"/>
      <c r="C42" s="35">
        <f>ROUND(((C13+C14)/12),0)</f>
        <v>0</v>
      </c>
      <c r="D42" s="35">
        <f aca="true" t="shared" si="9" ref="D42:N42">ROUND(((D13+D14)/12),0)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9">
        <f aca="true" t="shared" si="10" ref="O42:O48">SUM(C42:N42)</f>
        <v>0</v>
      </c>
      <c r="P42" s="8"/>
      <c r="Q42" s="33"/>
    </row>
    <row r="43" spans="1:17" ht="12.75">
      <c r="A43" s="206" t="s">
        <v>58</v>
      </c>
      <c r="B43" s="207"/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9">
        <f t="shared" si="10"/>
        <v>0</v>
      </c>
      <c r="P43" s="8"/>
      <c r="Q43" s="33"/>
    </row>
    <row r="44" spans="1:17" ht="12.75">
      <c r="A44" s="206" t="s">
        <v>59</v>
      </c>
      <c r="B44" s="207"/>
      <c r="C44" s="30">
        <v>0</v>
      </c>
      <c r="D44" s="30">
        <f>C44</f>
        <v>0</v>
      </c>
      <c r="E44" s="30">
        <f aca="true" t="shared" si="11" ref="E44:N44">D44</f>
        <v>0</v>
      </c>
      <c r="F44" s="30">
        <f t="shared" si="11"/>
        <v>0</v>
      </c>
      <c r="G44" s="30">
        <f t="shared" si="11"/>
        <v>0</v>
      </c>
      <c r="H44" s="30">
        <f t="shared" si="11"/>
        <v>0</v>
      </c>
      <c r="I44" s="30">
        <f t="shared" si="11"/>
        <v>0</v>
      </c>
      <c r="J44" s="30">
        <f t="shared" si="11"/>
        <v>0</v>
      </c>
      <c r="K44" s="30">
        <f t="shared" si="11"/>
        <v>0</v>
      </c>
      <c r="L44" s="30">
        <f t="shared" si="11"/>
        <v>0</v>
      </c>
      <c r="M44" s="30">
        <f t="shared" si="11"/>
        <v>0</v>
      </c>
      <c r="N44" s="30">
        <f t="shared" si="11"/>
        <v>0</v>
      </c>
      <c r="O44" s="39">
        <f t="shared" si="10"/>
        <v>0</v>
      </c>
      <c r="P44" s="8"/>
      <c r="Q44" s="33"/>
    </row>
    <row r="45" spans="1:17" ht="12.75">
      <c r="A45" s="206" t="s">
        <v>60</v>
      </c>
      <c r="B45" s="207"/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9">
        <f t="shared" si="10"/>
        <v>0</v>
      </c>
      <c r="P45" s="8"/>
      <c r="Q45" s="33"/>
    </row>
    <row r="46" spans="1:17" ht="12.75">
      <c r="A46" s="206" t="s">
        <v>61</v>
      </c>
      <c r="B46" s="207"/>
      <c r="C46" s="30">
        <v>0</v>
      </c>
      <c r="D46" s="30">
        <v>0</v>
      </c>
      <c r="E46" s="30">
        <f aca="true" t="shared" si="12" ref="E46:N46">D46</f>
        <v>0</v>
      </c>
      <c r="F46" s="30">
        <f t="shared" si="12"/>
        <v>0</v>
      </c>
      <c r="G46" s="30">
        <f t="shared" si="12"/>
        <v>0</v>
      </c>
      <c r="H46" s="30">
        <f t="shared" si="12"/>
        <v>0</v>
      </c>
      <c r="I46" s="30">
        <f t="shared" si="12"/>
        <v>0</v>
      </c>
      <c r="J46" s="30">
        <f t="shared" si="12"/>
        <v>0</v>
      </c>
      <c r="K46" s="30">
        <f t="shared" si="12"/>
        <v>0</v>
      </c>
      <c r="L46" s="30">
        <f t="shared" si="12"/>
        <v>0</v>
      </c>
      <c r="M46" s="30">
        <f t="shared" si="12"/>
        <v>0</v>
      </c>
      <c r="N46" s="30">
        <f t="shared" si="12"/>
        <v>0</v>
      </c>
      <c r="O46" s="39">
        <f t="shared" si="10"/>
        <v>0</v>
      </c>
      <c r="P46" s="8"/>
      <c r="Q46" s="33"/>
    </row>
    <row r="47" spans="1:17" ht="12.75">
      <c r="A47" s="206" t="s">
        <v>62</v>
      </c>
      <c r="B47" s="207"/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9">
        <f t="shared" si="10"/>
        <v>0</v>
      </c>
      <c r="P47" s="8"/>
      <c r="Q47" s="33"/>
    </row>
    <row r="48" spans="1:17" ht="12.75">
      <c r="A48" s="206" t="s">
        <v>63</v>
      </c>
      <c r="B48" s="207"/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9">
        <f t="shared" si="10"/>
        <v>0</v>
      </c>
      <c r="P48" s="8"/>
      <c r="Q48" s="33"/>
    </row>
    <row r="49" spans="1:17" ht="12.75">
      <c r="A49" s="206" t="s">
        <v>64</v>
      </c>
      <c r="B49" s="207"/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9">
        <f aca="true" t="shared" si="13" ref="O49:O57">SUM(C49:N49)</f>
        <v>0</v>
      </c>
      <c r="P49" s="8"/>
      <c r="Q49" s="33"/>
    </row>
    <row r="50" spans="1:17" ht="12.75">
      <c r="A50" s="206" t="s">
        <v>65</v>
      </c>
      <c r="B50" s="207"/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9">
        <f t="shared" si="13"/>
        <v>0</v>
      </c>
      <c r="P50" s="8"/>
      <c r="Q50" s="33"/>
    </row>
    <row r="51" spans="1:17" ht="12.75">
      <c r="A51" s="206" t="s">
        <v>66</v>
      </c>
      <c r="B51" s="207"/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9">
        <f t="shared" si="13"/>
        <v>0</v>
      </c>
      <c r="P51" s="8"/>
      <c r="Q51" s="33"/>
    </row>
    <row r="52" spans="1:17" ht="12.75">
      <c r="A52" s="206" t="s">
        <v>67</v>
      </c>
      <c r="B52" s="207"/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9">
        <f t="shared" si="13"/>
        <v>0</v>
      </c>
      <c r="P52" s="8"/>
      <c r="Q52" s="33"/>
    </row>
    <row r="53" spans="1:17" ht="12.75">
      <c r="A53" s="206" t="s">
        <v>68</v>
      </c>
      <c r="B53" s="207"/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9">
        <f t="shared" si="13"/>
        <v>0</v>
      </c>
      <c r="P53" s="8"/>
      <c r="Q53" s="33"/>
    </row>
    <row r="54" spans="1:17" ht="12.75">
      <c r="A54" s="206" t="s">
        <v>69</v>
      </c>
      <c r="B54" s="207"/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9">
        <f t="shared" si="13"/>
        <v>0</v>
      </c>
      <c r="P54" s="8"/>
      <c r="Q54" s="33"/>
    </row>
    <row r="55" spans="1:17" ht="12.75">
      <c r="A55" s="206"/>
      <c r="B55" s="207"/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9">
        <f t="shared" si="13"/>
        <v>0</v>
      </c>
      <c r="P55" s="8"/>
      <c r="Q55" s="33"/>
    </row>
    <row r="56" spans="1:17" ht="12.75">
      <c r="A56" s="206"/>
      <c r="B56" s="207"/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9">
        <f t="shared" si="13"/>
        <v>0</v>
      </c>
      <c r="P56" s="8"/>
      <c r="Q56" s="33"/>
    </row>
    <row r="57" spans="1:17" ht="12.75">
      <c r="A57" s="206"/>
      <c r="B57" s="207"/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9">
        <f t="shared" si="13"/>
        <v>0</v>
      </c>
      <c r="P57" s="8"/>
      <c r="Q57" s="33"/>
    </row>
    <row r="58" spans="1:17" ht="12.75">
      <c r="A58" s="219" t="s">
        <v>70</v>
      </c>
      <c r="B58" s="220"/>
      <c r="C58" s="48">
        <f>SUM(C42:C57)</f>
        <v>0</v>
      </c>
      <c r="D58" s="48">
        <f aca="true" t="shared" si="14" ref="D58:N58">SUM(D42:D57)</f>
        <v>0</v>
      </c>
      <c r="E58" s="48">
        <f t="shared" si="14"/>
        <v>0</v>
      </c>
      <c r="F58" s="48">
        <f t="shared" si="14"/>
        <v>0</v>
      </c>
      <c r="G58" s="48">
        <f t="shared" si="14"/>
        <v>0</v>
      </c>
      <c r="H58" s="48">
        <f t="shared" si="14"/>
        <v>0</v>
      </c>
      <c r="I58" s="48">
        <f t="shared" si="14"/>
        <v>0</v>
      </c>
      <c r="J58" s="48">
        <f t="shared" si="14"/>
        <v>0</v>
      </c>
      <c r="K58" s="48">
        <f t="shared" si="14"/>
        <v>0</v>
      </c>
      <c r="L58" s="48">
        <f t="shared" si="14"/>
        <v>0</v>
      </c>
      <c r="M58" s="48">
        <f t="shared" si="14"/>
        <v>0</v>
      </c>
      <c r="N58" s="48">
        <f t="shared" si="14"/>
        <v>0</v>
      </c>
      <c r="O58" s="39">
        <f>SUM(C58:N58)</f>
        <v>0</v>
      </c>
      <c r="P58" s="8"/>
      <c r="Q58" s="33"/>
    </row>
    <row r="59" spans="1:17" ht="12.75">
      <c r="A59" s="221" t="s">
        <v>71</v>
      </c>
      <c r="B59" s="222"/>
      <c r="C59" s="39">
        <f aca="true" t="shared" si="15" ref="C59:N59">(C38-C58)</f>
        <v>0</v>
      </c>
      <c r="D59" s="39">
        <f t="shared" si="15"/>
        <v>0</v>
      </c>
      <c r="E59" s="39">
        <f t="shared" si="15"/>
        <v>0</v>
      </c>
      <c r="F59" s="49">
        <f t="shared" si="15"/>
        <v>0</v>
      </c>
      <c r="G59" s="39">
        <f t="shared" si="15"/>
        <v>0</v>
      </c>
      <c r="H59" s="39">
        <f t="shared" si="15"/>
        <v>0</v>
      </c>
      <c r="I59" s="39">
        <f t="shared" si="15"/>
        <v>0</v>
      </c>
      <c r="J59" s="39">
        <f t="shared" si="15"/>
        <v>0</v>
      </c>
      <c r="K59" s="39">
        <f t="shared" si="15"/>
        <v>0</v>
      </c>
      <c r="L59" s="39">
        <f t="shared" si="15"/>
        <v>0</v>
      </c>
      <c r="M59" s="39">
        <f t="shared" si="15"/>
        <v>0</v>
      </c>
      <c r="N59" s="39">
        <f t="shared" si="15"/>
        <v>0</v>
      </c>
      <c r="O59" s="39">
        <f>SUM(C59:N59)</f>
        <v>0</v>
      </c>
      <c r="P59" s="8"/>
      <c r="Q59" s="33"/>
    </row>
    <row r="60" spans="1:17" ht="12.75">
      <c r="A60" s="204" t="str">
        <f>IF(O9=1," INCOME","INCOME")</f>
        <v> INCOME</v>
      </c>
      <c r="B60" s="205"/>
      <c r="C60" s="223"/>
      <c r="D60" s="180"/>
      <c r="E60" s="51"/>
      <c r="F60" s="224" t="s">
        <v>72</v>
      </c>
      <c r="G60" s="225"/>
      <c r="H60" s="225"/>
      <c r="I60" s="225"/>
      <c r="J60" s="225"/>
      <c r="K60" s="225"/>
      <c r="L60" s="225"/>
      <c r="M60" s="226"/>
      <c r="N60" s="52"/>
      <c r="O60" s="52"/>
      <c r="P60" s="53"/>
      <c r="Q60" s="33"/>
    </row>
    <row r="61" spans="1:17" ht="12.75">
      <c r="A61" s="206" t="s">
        <v>46</v>
      </c>
      <c r="B61" s="207"/>
      <c r="C61" s="54">
        <f>((O30+O39)-70%*O22)</f>
        <v>0</v>
      </c>
      <c r="D61" s="53"/>
      <c r="E61" s="51"/>
      <c r="F61" s="227" t="s">
        <v>73</v>
      </c>
      <c r="G61" s="228"/>
      <c r="H61" s="55" t="s">
        <v>74</v>
      </c>
      <c r="I61" s="56" t="s">
        <v>75</v>
      </c>
      <c r="J61" s="229" t="s">
        <v>73</v>
      </c>
      <c r="K61" s="227"/>
      <c r="L61" s="230"/>
      <c r="M61" s="55" t="s">
        <v>74</v>
      </c>
      <c r="N61" s="53"/>
      <c r="O61" s="53"/>
      <c r="P61" s="53"/>
      <c r="Q61" s="33"/>
    </row>
    <row r="62" spans="1:17" ht="12.75">
      <c r="A62" s="231" t="s">
        <v>76</v>
      </c>
      <c r="B62" s="208"/>
      <c r="C62" s="54">
        <f>IF(O31&lt;=9600,0,(O31-9600))</f>
        <v>0</v>
      </c>
      <c r="D62" s="57"/>
      <c r="E62" s="51"/>
      <c r="F62" s="232" t="s">
        <v>77</v>
      </c>
      <c r="G62" s="233"/>
      <c r="H62" s="30">
        <v>0</v>
      </c>
      <c r="I62" s="35">
        <f>MIN(H62,35000)</f>
        <v>0</v>
      </c>
      <c r="J62" s="234" t="s">
        <v>78</v>
      </c>
      <c r="K62" s="235"/>
      <c r="L62" s="236"/>
      <c r="M62" s="58">
        <f>O89</f>
        <v>0</v>
      </c>
      <c r="N62" s="53"/>
      <c r="O62" s="53"/>
      <c r="P62" s="53"/>
      <c r="Q62" s="33"/>
    </row>
    <row r="63" spans="1:17" ht="12.75">
      <c r="A63" s="206" t="s">
        <v>79</v>
      </c>
      <c r="B63" s="207"/>
      <c r="C63" s="54">
        <f>M82</f>
        <v>0</v>
      </c>
      <c r="D63" s="53"/>
      <c r="E63" s="51"/>
      <c r="F63" s="232" t="s">
        <v>80</v>
      </c>
      <c r="G63" s="233"/>
      <c r="H63" s="30">
        <v>0</v>
      </c>
      <c r="I63" s="35">
        <f>MIN(H63,50000)</f>
        <v>0</v>
      </c>
      <c r="J63" s="237" t="s">
        <v>81</v>
      </c>
      <c r="K63" s="238"/>
      <c r="L63" s="207"/>
      <c r="M63" s="30">
        <v>0</v>
      </c>
      <c r="N63" s="53"/>
      <c r="O63" s="53"/>
      <c r="P63" s="53"/>
      <c r="Q63" s="33"/>
    </row>
    <row r="64" spans="1:17" ht="12.75">
      <c r="A64" s="239" t="s">
        <v>82</v>
      </c>
      <c r="B64" s="240"/>
      <c r="C64" s="54">
        <f>SUM(C61:C63)</f>
        <v>0</v>
      </c>
      <c r="D64" s="53"/>
      <c r="E64" s="51"/>
      <c r="F64" s="232" t="s">
        <v>83</v>
      </c>
      <c r="G64" s="233"/>
      <c r="H64" s="30">
        <v>0</v>
      </c>
      <c r="I64" s="35">
        <f>MIN(H64,40000)</f>
        <v>0</v>
      </c>
      <c r="J64" s="237" t="s">
        <v>84</v>
      </c>
      <c r="K64" s="238"/>
      <c r="L64" s="207"/>
      <c r="M64" s="30">
        <v>0</v>
      </c>
      <c r="N64" s="53"/>
      <c r="O64" s="53"/>
      <c r="P64" s="53"/>
      <c r="Q64" s="33"/>
    </row>
    <row r="65" spans="1:17" ht="12.75">
      <c r="A65" s="206" t="s">
        <v>85</v>
      </c>
      <c r="B65" s="207"/>
      <c r="C65" s="54">
        <f>(O42+O43+O44+O48)</f>
        <v>0</v>
      </c>
      <c r="D65" s="53"/>
      <c r="E65" s="51"/>
      <c r="F65" s="232" t="s">
        <v>86</v>
      </c>
      <c r="G65" s="233"/>
      <c r="H65" s="30">
        <v>0</v>
      </c>
      <c r="I65" s="35">
        <f>H65</f>
        <v>0</v>
      </c>
      <c r="J65" s="237" t="s">
        <v>87</v>
      </c>
      <c r="K65" s="238"/>
      <c r="L65" s="207"/>
      <c r="M65" s="30">
        <v>0</v>
      </c>
      <c r="N65" s="59"/>
      <c r="O65" s="53"/>
      <c r="P65" s="53"/>
      <c r="Q65" s="33"/>
    </row>
    <row r="66" spans="1:17" ht="12.75">
      <c r="A66" s="206" t="s">
        <v>88</v>
      </c>
      <c r="B66" s="207"/>
      <c r="C66" s="54">
        <f>M75</f>
        <v>0</v>
      </c>
      <c r="D66" s="53"/>
      <c r="E66" s="51"/>
      <c r="F66" s="232" t="s">
        <v>89</v>
      </c>
      <c r="G66" s="233"/>
      <c r="H66" s="30">
        <v>0</v>
      </c>
      <c r="I66" s="35">
        <f>H66</f>
        <v>0</v>
      </c>
      <c r="J66" s="237" t="s">
        <v>90</v>
      </c>
      <c r="K66" s="235"/>
      <c r="L66" s="236"/>
      <c r="M66" s="30">
        <v>0</v>
      </c>
      <c r="N66" s="53"/>
      <c r="O66" s="53"/>
      <c r="P66" s="53"/>
      <c r="Q66" s="33"/>
    </row>
    <row r="67" spans="1:17" ht="12.75">
      <c r="A67" s="206" t="s">
        <v>91</v>
      </c>
      <c r="B67" s="207"/>
      <c r="C67" s="54">
        <f>MIN((C65+M73),100000)+MIN(M74,20000)</f>
        <v>0</v>
      </c>
      <c r="D67" s="60"/>
      <c r="E67" s="51"/>
      <c r="F67" s="232" t="s">
        <v>92</v>
      </c>
      <c r="G67" s="233"/>
      <c r="H67" s="30">
        <v>0</v>
      </c>
      <c r="I67" s="35">
        <f>H67</f>
        <v>0</v>
      </c>
      <c r="J67" s="237" t="s">
        <v>93</v>
      </c>
      <c r="K67" s="235"/>
      <c r="L67" s="236"/>
      <c r="M67" s="30">
        <v>0</v>
      </c>
      <c r="N67" s="53"/>
      <c r="O67" s="53"/>
      <c r="P67" s="53"/>
      <c r="Q67" s="33"/>
    </row>
    <row r="68" spans="1:17" ht="12.75">
      <c r="A68" s="206" t="s">
        <v>61</v>
      </c>
      <c r="B68" s="207"/>
      <c r="C68" s="54">
        <f>(O46)</f>
        <v>0</v>
      </c>
      <c r="D68" s="53"/>
      <c r="E68" s="51"/>
      <c r="F68" s="232" t="s">
        <v>94</v>
      </c>
      <c r="G68" s="233"/>
      <c r="H68" s="30">
        <v>0</v>
      </c>
      <c r="I68" s="35">
        <f>H68</f>
        <v>0</v>
      </c>
      <c r="J68" s="237" t="s">
        <v>95</v>
      </c>
      <c r="K68" s="235"/>
      <c r="L68" s="236"/>
      <c r="M68" s="30">
        <v>0</v>
      </c>
      <c r="N68" s="53"/>
      <c r="O68" s="53"/>
      <c r="P68" s="53"/>
      <c r="Q68" s="33"/>
    </row>
    <row r="69" spans="1:17" ht="12.75">
      <c r="A69" s="206" t="s">
        <v>96</v>
      </c>
      <c r="B69" s="207"/>
      <c r="C69" s="54">
        <f>MIN(I78,150000)</f>
        <v>0</v>
      </c>
      <c r="D69" s="53"/>
      <c r="E69" s="51"/>
      <c r="F69" s="232" t="s">
        <v>97</v>
      </c>
      <c r="G69" s="233"/>
      <c r="H69" s="30">
        <v>0</v>
      </c>
      <c r="I69" s="35">
        <f>MIN(H69,15000)</f>
        <v>0</v>
      </c>
      <c r="J69" s="237" t="s">
        <v>98</v>
      </c>
      <c r="K69" s="235"/>
      <c r="L69" s="236"/>
      <c r="M69" s="30">
        <v>0</v>
      </c>
      <c r="N69" s="53"/>
      <c r="O69" s="53"/>
      <c r="P69" s="53"/>
      <c r="Q69" s="33"/>
    </row>
    <row r="70" spans="1:17" ht="12.75">
      <c r="A70" s="206" t="s">
        <v>99</v>
      </c>
      <c r="B70" s="207"/>
      <c r="C70" s="54">
        <f>MIN(I77,150000)</f>
        <v>0</v>
      </c>
      <c r="D70" s="53"/>
      <c r="E70" s="51"/>
      <c r="F70" s="232" t="s">
        <v>100</v>
      </c>
      <c r="G70" s="233"/>
      <c r="H70" s="30">
        <v>0</v>
      </c>
      <c r="I70" s="35">
        <f>MIN(H70,50000)</f>
        <v>0</v>
      </c>
      <c r="J70" s="237" t="s">
        <v>101</v>
      </c>
      <c r="K70" s="235"/>
      <c r="L70" s="236"/>
      <c r="M70" s="30">
        <v>0</v>
      </c>
      <c r="N70" s="53"/>
      <c r="O70" s="53"/>
      <c r="P70" s="53"/>
      <c r="Q70" s="33"/>
    </row>
    <row r="71" spans="1:17" ht="12.75">
      <c r="A71" s="206" t="s">
        <v>102</v>
      </c>
      <c r="B71" s="207"/>
      <c r="C71" s="54">
        <f>I75</f>
        <v>0</v>
      </c>
      <c r="D71" s="53"/>
      <c r="E71" s="51"/>
      <c r="F71" s="232"/>
      <c r="G71" s="233"/>
      <c r="H71" s="30">
        <v>0</v>
      </c>
      <c r="I71" s="35">
        <f>H71</f>
        <v>0</v>
      </c>
      <c r="J71" s="237" t="s">
        <v>103</v>
      </c>
      <c r="K71" s="235"/>
      <c r="L71" s="236"/>
      <c r="M71" s="30">
        <v>0</v>
      </c>
      <c r="N71" s="53"/>
      <c r="O71" s="53"/>
      <c r="P71" s="53"/>
      <c r="Q71" s="33"/>
    </row>
    <row r="72" spans="1:17" ht="12.75">
      <c r="A72" s="239" t="s">
        <v>104</v>
      </c>
      <c r="B72" s="240"/>
      <c r="C72" s="61">
        <f>MROUND(IF(O9=1,IF((C64-C67--C68-C69-C70-C71)&lt;=180000,0,(C64-C67-C68-C69-C70-C71)),IF(O9=2,IF((C64-C67-C68-C69-C70-C71)&lt;=190000,0,(C64-C67-C68-C69-C70-C71)))),10)</f>
        <v>0</v>
      </c>
      <c r="D72" s="53"/>
      <c r="E72" s="51"/>
      <c r="F72" s="232"/>
      <c r="G72" s="233"/>
      <c r="H72" s="30">
        <v>0</v>
      </c>
      <c r="I72" s="35">
        <f>H72</f>
        <v>0</v>
      </c>
      <c r="J72" s="237" t="s">
        <v>105</v>
      </c>
      <c r="K72" s="235"/>
      <c r="L72" s="236"/>
      <c r="M72" s="30">
        <v>0</v>
      </c>
      <c r="N72" s="53"/>
      <c r="O72" s="53"/>
      <c r="P72" s="53"/>
      <c r="Q72" s="33"/>
    </row>
    <row r="73" spans="1:17" ht="12.75">
      <c r="A73" s="241" t="str">
        <f>IF(O9=1,"  Income Tax for MALE ","Income Tax For FEMALE ")</f>
        <v>  Income Tax for MALE </v>
      </c>
      <c r="B73" s="242"/>
      <c r="C73" s="243"/>
      <c r="D73" s="53"/>
      <c r="E73" s="62"/>
      <c r="F73" s="232"/>
      <c r="G73" s="233"/>
      <c r="H73" s="30">
        <v>0</v>
      </c>
      <c r="I73" s="35">
        <f>H73</f>
        <v>0</v>
      </c>
      <c r="J73" s="237" t="s">
        <v>106</v>
      </c>
      <c r="K73" s="238"/>
      <c r="L73" s="207"/>
      <c r="M73" s="63">
        <f>MIN(SUM(M62:M72),100000)</f>
        <v>0</v>
      </c>
      <c r="N73" s="53"/>
      <c r="O73" s="53"/>
      <c r="P73" s="53"/>
      <c r="Q73" s="33"/>
    </row>
    <row r="74" spans="1:17" ht="12.75">
      <c r="A74" s="206" t="str">
        <f>IF(O9=1,"UP TO Rs180000 ","Up to Rs190000")</f>
        <v>UP TO Rs180000 </v>
      </c>
      <c r="B74" s="207"/>
      <c r="C74" s="64"/>
      <c r="D74" s="53"/>
      <c r="E74" s="51"/>
      <c r="F74" s="244"/>
      <c r="G74" s="244"/>
      <c r="H74" s="30">
        <v>0</v>
      </c>
      <c r="I74" s="35">
        <f>H74</f>
        <v>0</v>
      </c>
      <c r="J74" s="237" t="s">
        <v>107</v>
      </c>
      <c r="K74" s="235"/>
      <c r="L74" s="236"/>
      <c r="M74" s="65">
        <v>0</v>
      </c>
      <c r="N74" s="53"/>
      <c r="O74" s="53"/>
      <c r="P74" s="53"/>
      <c r="Q74" s="33"/>
    </row>
    <row r="75" spans="1:17" ht="12.75">
      <c r="A75" s="206" t="str">
        <f>IF(O9=1,"Rs180001-Rs 500000","Rs190001-Rs 500000")</f>
        <v>Rs180001-Rs 500000</v>
      </c>
      <c r="B75" s="207"/>
      <c r="C75" s="64">
        <f>IF(O9=1,IF(C72&lt;=180000,0,IF(AND(C72&gt;180000,C72&lt;=500000),ROUND(((C72-180000)*10%),0),32000)),IF(O9=2,IF(C72&lt;=190000,0,IF(AND(C72&gt;190000,C72&lt;=500000),ROUND(((C72-190000)*10%),0),31000))))</f>
        <v>0</v>
      </c>
      <c r="D75" s="53"/>
      <c r="E75" s="62"/>
      <c r="F75" s="245" t="s">
        <v>32</v>
      </c>
      <c r="G75" s="246"/>
      <c r="H75" s="66">
        <f>SUM(H62:H74)</f>
        <v>0</v>
      </c>
      <c r="I75" s="66">
        <f>SUM(I62:I74)</f>
        <v>0</v>
      </c>
      <c r="J75" s="247" t="s">
        <v>108</v>
      </c>
      <c r="K75" s="248"/>
      <c r="L75" s="249"/>
      <c r="M75" s="67">
        <f>M73+MIN(M74,20000)</f>
        <v>0</v>
      </c>
      <c r="N75" s="60"/>
      <c r="O75" s="53"/>
      <c r="P75" s="53"/>
      <c r="Q75" s="33"/>
    </row>
    <row r="76" spans="1:17" ht="12.75">
      <c r="A76" s="206" t="s">
        <v>109</v>
      </c>
      <c r="B76" s="207"/>
      <c r="C76" s="64">
        <f>IF(C72&lt;=500000,0,IF(AND(C72&gt;500000,C72&lt;=800000),ROUND(((C72-500000)*20%),0),(60000)))</f>
        <v>0</v>
      </c>
      <c r="D76" s="53"/>
      <c r="E76" s="62"/>
      <c r="F76" s="250" t="s">
        <v>110</v>
      </c>
      <c r="G76" s="251"/>
      <c r="H76" s="251"/>
      <c r="I76" s="252"/>
      <c r="J76" s="250" t="s">
        <v>111</v>
      </c>
      <c r="K76" s="251"/>
      <c r="L76" s="251"/>
      <c r="M76" s="252"/>
      <c r="N76" s="53"/>
      <c r="O76" s="53"/>
      <c r="P76" s="53"/>
      <c r="Q76" s="33"/>
    </row>
    <row r="77" spans="1:17" ht="12.75">
      <c r="A77" s="206" t="s">
        <v>112</v>
      </c>
      <c r="B77" s="207"/>
      <c r="C77" s="64">
        <f>IF(C72&gt;800000,ROUND(((C72-800000)*30%),0),(0))</f>
        <v>0</v>
      </c>
      <c r="D77" s="53"/>
      <c r="E77" s="62"/>
      <c r="F77" s="238" t="s">
        <v>113</v>
      </c>
      <c r="G77" s="207"/>
      <c r="H77" s="64">
        <f>O49</f>
        <v>0</v>
      </c>
      <c r="I77" s="35">
        <f>MIN(H77,150000)</f>
        <v>0</v>
      </c>
      <c r="J77" s="237" t="s">
        <v>114</v>
      </c>
      <c r="K77" s="238"/>
      <c r="L77" s="207"/>
      <c r="M77" s="30">
        <v>0</v>
      </c>
      <c r="N77" s="53"/>
      <c r="O77" s="53"/>
      <c r="P77" s="53"/>
      <c r="Q77" s="33"/>
    </row>
    <row r="78" spans="1:17" ht="12.75">
      <c r="A78" s="206" t="s">
        <v>115</v>
      </c>
      <c r="B78" s="207"/>
      <c r="C78" s="64">
        <f>SUM(C75:C77)</f>
        <v>0</v>
      </c>
      <c r="D78" s="53"/>
      <c r="E78" s="62"/>
      <c r="F78" s="238" t="s">
        <v>116</v>
      </c>
      <c r="G78" s="207"/>
      <c r="H78" s="30">
        <v>0</v>
      </c>
      <c r="I78" s="35">
        <f>MIN(H78,150000)</f>
        <v>0</v>
      </c>
      <c r="J78" s="237" t="s">
        <v>117</v>
      </c>
      <c r="K78" s="235"/>
      <c r="L78" s="236"/>
      <c r="M78" s="30">
        <v>0</v>
      </c>
      <c r="N78" s="53"/>
      <c r="O78" s="53"/>
      <c r="P78" s="53"/>
      <c r="Q78" s="33"/>
    </row>
    <row r="79" spans="1:17" ht="12.75">
      <c r="A79" s="206" t="s">
        <v>118</v>
      </c>
      <c r="B79" s="207"/>
      <c r="C79" s="64">
        <f>ROUND((C78*3%),0)</f>
        <v>0</v>
      </c>
      <c r="D79" s="53"/>
      <c r="E79" s="62"/>
      <c r="F79" s="238"/>
      <c r="G79" s="207"/>
      <c r="H79" s="35"/>
      <c r="I79" s="68"/>
      <c r="J79" s="237" t="s">
        <v>50</v>
      </c>
      <c r="K79" s="235"/>
      <c r="L79" s="236"/>
      <c r="M79" s="54">
        <f>IF(O34&lt;=15000,0,(O34-15000))</f>
        <v>0</v>
      </c>
      <c r="N79" s="53"/>
      <c r="O79" s="53"/>
      <c r="P79" s="53"/>
      <c r="Q79" s="33"/>
    </row>
    <row r="80" spans="1:17" ht="12.75">
      <c r="A80" s="200" t="s">
        <v>119</v>
      </c>
      <c r="B80" s="253"/>
      <c r="C80" s="64">
        <f>MROUND(SUM(C78:C79),10)</f>
        <v>0</v>
      </c>
      <c r="D80" s="53"/>
      <c r="E80" s="62"/>
      <c r="F80" s="254"/>
      <c r="G80" s="255"/>
      <c r="H80" s="69"/>
      <c r="I80" s="58"/>
      <c r="J80" s="256"/>
      <c r="K80" s="235"/>
      <c r="L80" s="236"/>
      <c r="M80" s="30">
        <v>0</v>
      </c>
      <c r="N80" s="53"/>
      <c r="O80" s="53"/>
      <c r="P80" s="53"/>
      <c r="Q80" s="33"/>
    </row>
    <row r="81" spans="1:17" ht="12.75">
      <c r="A81" s="206" t="s">
        <v>120</v>
      </c>
      <c r="B81" s="207"/>
      <c r="C81" s="64">
        <f>(O45+H82)</f>
        <v>0</v>
      </c>
      <c r="D81" s="70"/>
      <c r="E81" s="62"/>
      <c r="F81" s="71" t="s">
        <v>121</v>
      </c>
      <c r="G81" s="72"/>
      <c r="H81" s="73"/>
      <c r="I81" s="74"/>
      <c r="J81" s="256"/>
      <c r="K81" s="235"/>
      <c r="L81" s="236"/>
      <c r="M81" s="30">
        <v>0</v>
      </c>
      <c r="N81" s="53"/>
      <c r="O81" s="53"/>
      <c r="P81" s="53"/>
      <c r="Q81" s="33"/>
    </row>
    <row r="82" spans="1:17" ht="15">
      <c r="A82" s="241" t="s">
        <v>228</v>
      </c>
      <c r="B82" s="242"/>
      <c r="C82" s="75">
        <f>IF((C80-C81)&gt;0,(C80-C81),0)</f>
        <v>0</v>
      </c>
      <c r="D82" s="76"/>
      <c r="E82" s="77"/>
      <c r="F82" s="237" t="s">
        <v>74</v>
      </c>
      <c r="G82" s="207"/>
      <c r="H82" s="30">
        <v>0</v>
      </c>
      <c r="I82" s="74"/>
      <c r="J82" s="247" t="s">
        <v>229</v>
      </c>
      <c r="K82" s="248"/>
      <c r="L82" s="249"/>
      <c r="M82" s="66">
        <f>SUM(M77+M78+M80+M81)+IF(M79&lt;=15000,0,(M79-15000))</f>
        <v>0</v>
      </c>
      <c r="N82" s="78"/>
      <c r="O82" s="78"/>
      <c r="P82" s="78"/>
      <c r="Q82" s="79"/>
    </row>
    <row r="83" spans="1:17" ht="13.5">
      <c r="A83" s="183" t="s">
        <v>124</v>
      </c>
      <c r="B83" s="184" t="s">
        <v>129</v>
      </c>
      <c r="C83" s="184" t="s">
        <v>135</v>
      </c>
      <c r="D83" s="184" t="s">
        <v>203</v>
      </c>
      <c r="E83" s="184" t="s">
        <v>204</v>
      </c>
      <c r="F83" s="184" t="s">
        <v>205</v>
      </c>
      <c r="G83" s="184" t="s">
        <v>206</v>
      </c>
      <c r="H83" s="184" t="s">
        <v>207</v>
      </c>
      <c r="I83" s="184" t="s">
        <v>208</v>
      </c>
      <c r="J83" s="184" t="s">
        <v>209</v>
      </c>
      <c r="K83" s="184" t="s">
        <v>210</v>
      </c>
      <c r="L83" s="184" t="s">
        <v>211</v>
      </c>
      <c r="M83" s="184" t="s">
        <v>212</v>
      </c>
      <c r="N83" s="184" t="s">
        <v>213</v>
      </c>
      <c r="O83" s="81" t="s">
        <v>217</v>
      </c>
      <c r="P83" s="82" t="s">
        <v>218</v>
      </c>
      <c r="Q83" s="178" t="s">
        <v>219</v>
      </c>
    </row>
    <row r="84" spans="1:17" ht="12.75">
      <c r="A84" s="84" t="s">
        <v>130</v>
      </c>
      <c r="B84" s="85">
        <v>0</v>
      </c>
      <c r="C84" s="64">
        <f aca="true" t="shared" si="16" ref="C84:N84">(C42+C43)</f>
        <v>0</v>
      </c>
      <c r="D84" s="64">
        <f t="shared" si="16"/>
        <v>0</v>
      </c>
      <c r="E84" s="64">
        <f t="shared" si="16"/>
        <v>0</v>
      </c>
      <c r="F84" s="64">
        <f t="shared" si="16"/>
        <v>0</v>
      </c>
      <c r="G84" s="64">
        <f t="shared" si="16"/>
        <v>0</v>
      </c>
      <c r="H84" s="64">
        <f t="shared" si="16"/>
        <v>0</v>
      </c>
      <c r="I84" s="64">
        <f t="shared" si="16"/>
        <v>0</v>
      </c>
      <c r="J84" s="64">
        <f t="shared" si="16"/>
        <v>0</v>
      </c>
      <c r="K84" s="64">
        <f t="shared" si="16"/>
        <v>0</v>
      </c>
      <c r="L84" s="64">
        <f t="shared" si="16"/>
        <v>0</v>
      </c>
      <c r="M84" s="64">
        <f t="shared" si="16"/>
        <v>0</v>
      </c>
      <c r="N84" s="64">
        <f t="shared" si="16"/>
        <v>0</v>
      </c>
      <c r="O84" s="86"/>
      <c r="P84" s="86"/>
      <c r="Q84" s="87"/>
    </row>
    <row r="85" spans="1:17" ht="12.75">
      <c r="A85" s="257" t="s">
        <v>131</v>
      </c>
      <c r="B85" s="258"/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8"/>
      <c r="P85" s="88"/>
      <c r="Q85" s="89"/>
    </row>
    <row r="86" spans="1:17" ht="12.75">
      <c r="A86" s="257" t="s">
        <v>132</v>
      </c>
      <c r="B86" s="258"/>
      <c r="C86" s="64">
        <f>(B84+C84-C85)</f>
        <v>0</v>
      </c>
      <c r="D86" s="64">
        <f aca="true" t="shared" si="17" ref="D86:N86">(C86+D84-D85)</f>
        <v>0</v>
      </c>
      <c r="E86" s="64">
        <f t="shared" si="17"/>
        <v>0</v>
      </c>
      <c r="F86" s="64">
        <f t="shared" si="17"/>
        <v>0</v>
      </c>
      <c r="G86" s="64">
        <f t="shared" si="17"/>
        <v>0</v>
      </c>
      <c r="H86" s="64">
        <f t="shared" si="17"/>
        <v>0</v>
      </c>
      <c r="I86" s="64">
        <f t="shared" si="17"/>
        <v>0</v>
      </c>
      <c r="J86" s="64">
        <f t="shared" si="17"/>
        <v>0</v>
      </c>
      <c r="K86" s="64">
        <f t="shared" si="17"/>
        <v>0</v>
      </c>
      <c r="L86" s="64">
        <f t="shared" si="17"/>
        <v>0</v>
      </c>
      <c r="M86" s="64">
        <f t="shared" si="17"/>
        <v>0</v>
      </c>
      <c r="N86" s="64">
        <f t="shared" si="17"/>
        <v>0</v>
      </c>
      <c r="O86" s="64">
        <f>SUM(C84:N84)</f>
        <v>0</v>
      </c>
      <c r="P86" s="90">
        <f>SUM(C86:N86)/12*8%</f>
        <v>0</v>
      </c>
      <c r="Q86" s="67">
        <f>(B84+O86+P86)</f>
        <v>0</v>
      </c>
    </row>
    <row r="87" spans="1:17" ht="12.75">
      <c r="A87" s="262" t="s">
        <v>224</v>
      </c>
      <c r="B87" s="263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3"/>
    </row>
    <row r="88" spans="1:17" ht="12.75">
      <c r="A88" s="94"/>
      <c r="B88" s="184" t="s">
        <v>136</v>
      </c>
      <c r="C88" s="184" t="s">
        <v>203</v>
      </c>
      <c r="D88" s="184" t="s">
        <v>204</v>
      </c>
      <c r="E88" s="184" t="s">
        <v>205</v>
      </c>
      <c r="F88" s="184" t="s">
        <v>206</v>
      </c>
      <c r="G88" s="184" t="s">
        <v>207</v>
      </c>
      <c r="H88" s="184" t="s">
        <v>208</v>
      </c>
      <c r="I88" s="184" t="s">
        <v>209</v>
      </c>
      <c r="J88" s="184" t="s">
        <v>210</v>
      </c>
      <c r="K88" s="184" t="s">
        <v>211</v>
      </c>
      <c r="L88" s="184" t="s">
        <v>212</v>
      </c>
      <c r="M88" s="184" t="s">
        <v>213</v>
      </c>
      <c r="N88" s="184" t="s">
        <v>220</v>
      </c>
      <c r="O88" s="81" t="s">
        <v>217</v>
      </c>
      <c r="P88" s="95" t="s">
        <v>218</v>
      </c>
      <c r="Q88" s="178" t="s">
        <v>221</v>
      </c>
    </row>
    <row r="89" spans="1:17" ht="12.75">
      <c r="A89" s="84" t="s">
        <v>130</v>
      </c>
      <c r="B89" s="96">
        <v>0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7"/>
      <c r="P89" s="98"/>
      <c r="Q89" s="99"/>
    </row>
    <row r="90" spans="1:17" ht="12.75">
      <c r="A90" s="257" t="s">
        <v>137</v>
      </c>
      <c r="B90" s="258"/>
      <c r="C90" s="96">
        <v>0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88"/>
      <c r="P90" s="88"/>
      <c r="Q90" s="100"/>
    </row>
    <row r="91" spans="1:17" ht="12.75">
      <c r="A91" s="257" t="s">
        <v>138</v>
      </c>
      <c r="B91" s="258"/>
      <c r="C91" s="64">
        <f>(B89+C89-C90)</f>
        <v>0</v>
      </c>
      <c r="D91" s="64">
        <f>(C91+D89-D90)</f>
        <v>0</v>
      </c>
      <c r="E91" s="64">
        <f aca="true" t="shared" si="18" ref="E91:N91">(D91+E89-E90)</f>
        <v>0</v>
      </c>
      <c r="F91" s="64">
        <f t="shared" si="18"/>
        <v>0</v>
      </c>
      <c r="G91" s="64">
        <f t="shared" si="18"/>
        <v>0</v>
      </c>
      <c r="H91" s="64">
        <f t="shared" si="18"/>
        <v>0</v>
      </c>
      <c r="I91" s="64">
        <f t="shared" si="18"/>
        <v>0</v>
      </c>
      <c r="J91" s="64">
        <f t="shared" si="18"/>
        <v>0</v>
      </c>
      <c r="K91" s="64">
        <f t="shared" si="18"/>
        <v>0</v>
      </c>
      <c r="L91" s="64">
        <f t="shared" si="18"/>
        <v>0</v>
      </c>
      <c r="M91" s="64">
        <f t="shared" si="18"/>
        <v>0</v>
      </c>
      <c r="N91" s="64">
        <f t="shared" si="18"/>
        <v>0</v>
      </c>
      <c r="O91" s="64">
        <f>SUM(C89:N89)</f>
        <v>0</v>
      </c>
      <c r="P91" s="43">
        <f>SUM(C91:N91)/12*8%</f>
        <v>0</v>
      </c>
      <c r="Q91" s="67">
        <f>(B89+O91+P91)</f>
        <v>0</v>
      </c>
    </row>
    <row r="92" spans="1:17" ht="12.75">
      <c r="A92" s="101"/>
      <c r="B92" s="102"/>
      <c r="C92" s="103"/>
      <c r="D92" s="103"/>
      <c r="E92" s="103"/>
      <c r="F92" s="103"/>
      <c r="G92" s="103"/>
      <c r="H92" s="104"/>
      <c r="I92" s="103"/>
      <c r="J92" s="103"/>
      <c r="K92" s="103"/>
      <c r="L92" s="103"/>
      <c r="M92" s="103"/>
      <c r="N92" s="103"/>
      <c r="O92" s="103"/>
      <c r="P92" s="105"/>
      <c r="Q92" s="106"/>
    </row>
    <row r="93" spans="1:17" ht="15">
      <c r="A93" s="29"/>
      <c r="B93" s="8"/>
      <c r="C93" s="8"/>
      <c r="D93" s="8"/>
      <c r="E93" s="8"/>
      <c r="F93" s="8"/>
      <c r="G93" s="8"/>
      <c r="H93" s="8"/>
      <c r="I93" s="259" t="s">
        <v>139</v>
      </c>
      <c r="J93" s="259"/>
      <c r="K93" s="259"/>
      <c r="L93" s="259"/>
      <c r="M93" s="259"/>
      <c r="N93" s="259"/>
      <c r="O93" s="259"/>
      <c r="P93" s="259"/>
      <c r="Q93" s="260"/>
    </row>
    <row r="94" spans="1:17" ht="13.5" thickBo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9" t="s">
        <v>140</v>
      </c>
      <c r="L94" s="109"/>
      <c r="M94" s="261" t="s">
        <v>141</v>
      </c>
      <c r="N94" s="261"/>
      <c r="O94" s="261"/>
      <c r="P94" s="108"/>
      <c r="Q94" s="110"/>
    </row>
  </sheetData>
  <sheetProtection/>
  <protectedRanges>
    <protectedRange password="CC61" sqref="C61:C66 C68:C72 D62" name="Range1"/>
  </protectedRanges>
  <mergeCells count="134">
    <mergeCell ref="A91:B91"/>
    <mergeCell ref="I93:Q93"/>
    <mergeCell ref="M94:O94"/>
    <mergeCell ref="A85:B85"/>
    <mergeCell ref="A86:B86"/>
    <mergeCell ref="A87:B87"/>
    <mergeCell ref="A90:B90"/>
    <mergeCell ref="A81:B81"/>
    <mergeCell ref="J81:L81"/>
    <mergeCell ref="A82:B82"/>
    <mergeCell ref="F82:G82"/>
    <mergeCell ref="J82:L82"/>
    <mergeCell ref="A79:B79"/>
    <mergeCell ref="F79:G79"/>
    <mergeCell ref="J79:L79"/>
    <mergeCell ref="A80:B80"/>
    <mergeCell ref="F80:G80"/>
    <mergeCell ref="J80:L80"/>
    <mergeCell ref="A77:B77"/>
    <mergeCell ref="F77:G77"/>
    <mergeCell ref="J77:L77"/>
    <mergeCell ref="A78:B78"/>
    <mergeCell ref="F78:G78"/>
    <mergeCell ref="J78:L78"/>
    <mergeCell ref="A75:B75"/>
    <mergeCell ref="F75:G75"/>
    <mergeCell ref="J75:L75"/>
    <mergeCell ref="A76:B76"/>
    <mergeCell ref="F76:I76"/>
    <mergeCell ref="J76:M76"/>
    <mergeCell ref="A73:C73"/>
    <mergeCell ref="F73:G73"/>
    <mergeCell ref="J73:L73"/>
    <mergeCell ref="A74:B74"/>
    <mergeCell ref="F74:G74"/>
    <mergeCell ref="J74:L74"/>
    <mergeCell ref="A71:B71"/>
    <mergeCell ref="F71:G71"/>
    <mergeCell ref="J71:L71"/>
    <mergeCell ref="A72:B72"/>
    <mergeCell ref="F72:G72"/>
    <mergeCell ref="J72:L72"/>
    <mergeCell ref="A69:B69"/>
    <mergeCell ref="F69:G69"/>
    <mergeCell ref="J69:L69"/>
    <mergeCell ref="A70:B70"/>
    <mergeCell ref="F70:G70"/>
    <mergeCell ref="J70:L70"/>
    <mergeCell ref="A67:B67"/>
    <mergeCell ref="F67:G67"/>
    <mergeCell ref="J67:L67"/>
    <mergeCell ref="A68:B68"/>
    <mergeCell ref="F68:G68"/>
    <mergeCell ref="J68:L68"/>
    <mergeCell ref="A65:B65"/>
    <mergeCell ref="F65:G65"/>
    <mergeCell ref="J65:L65"/>
    <mergeCell ref="A66:B66"/>
    <mergeCell ref="F66:G66"/>
    <mergeCell ref="J66:L66"/>
    <mergeCell ref="A63:B63"/>
    <mergeCell ref="F63:G63"/>
    <mergeCell ref="J63:L63"/>
    <mergeCell ref="A64:B64"/>
    <mergeCell ref="F64:G64"/>
    <mergeCell ref="J64:L64"/>
    <mergeCell ref="A61:B61"/>
    <mergeCell ref="F61:G61"/>
    <mergeCell ref="J61:L61"/>
    <mergeCell ref="A62:B62"/>
    <mergeCell ref="F62:G62"/>
    <mergeCell ref="J62:L62"/>
    <mergeCell ref="A58:B58"/>
    <mergeCell ref="A59:B59"/>
    <mergeCell ref="A60:C60"/>
    <mergeCell ref="F60:M60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C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1:E11"/>
    <mergeCell ref="F11:N11"/>
    <mergeCell ref="A12:B12"/>
    <mergeCell ref="A13:B13"/>
    <mergeCell ref="A7:N7"/>
    <mergeCell ref="A8:N8"/>
    <mergeCell ref="A9:N9"/>
    <mergeCell ref="A10:E10"/>
    <mergeCell ref="F10:N10"/>
    <mergeCell ref="A1:Q1"/>
    <mergeCell ref="A2:H2"/>
    <mergeCell ref="A3:H3"/>
    <mergeCell ref="F5:G5"/>
    <mergeCell ref="H5:I5"/>
  </mergeCells>
  <conditionalFormatting sqref="C8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2" fitToWidth="1" horizontalDpi="300" verticalDpi="300" orientation="landscape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selection activeCell="D19" sqref="D19"/>
    </sheetView>
  </sheetViews>
  <sheetFormatPr defaultColWidth="9.140625" defaultRowHeight="12.75"/>
  <sheetData>
    <row r="1" spans="1:17" ht="18.75" thickBot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</row>
    <row r="2" spans="1:17" ht="12.75">
      <c r="A2" s="188" t="s">
        <v>1</v>
      </c>
      <c r="B2" s="189"/>
      <c r="C2" s="189"/>
      <c r="D2" s="189"/>
      <c r="E2" s="189"/>
      <c r="F2" s="189"/>
      <c r="G2" s="189"/>
      <c r="H2" s="189"/>
      <c r="I2" s="2"/>
      <c r="J2" s="3" t="s">
        <v>2</v>
      </c>
      <c r="K2" s="4"/>
      <c r="L2" s="4"/>
      <c r="M2" s="4"/>
      <c r="N2" s="4"/>
      <c r="O2" s="4"/>
      <c r="P2" s="4"/>
      <c r="Q2" s="5"/>
    </row>
    <row r="3" spans="1:17" ht="12.75">
      <c r="A3" s="190" t="s">
        <v>3</v>
      </c>
      <c r="B3" s="189"/>
      <c r="C3" s="189"/>
      <c r="D3" s="189"/>
      <c r="E3" s="189"/>
      <c r="F3" s="189"/>
      <c r="G3" s="189"/>
      <c r="H3" s="189"/>
      <c r="I3" s="2"/>
      <c r="J3" s="1" t="s">
        <v>4</v>
      </c>
      <c r="K3" s="6"/>
      <c r="L3" s="6"/>
      <c r="M3" s="6"/>
      <c r="N3" s="7"/>
      <c r="O3" s="1"/>
      <c r="P3" s="8"/>
      <c r="Q3" s="9"/>
    </row>
    <row r="4" spans="1:17" ht="12.75">
      <c r="A4" s="10" t="s">
        <v>5</v>
      </c>
      <c r="B4" s="1"/>
      <c r="C4" s="1"/>
      <c r="D4" s="1"/>
      <c r="E4" s="1"/>
      <c r="F4" s="1"/>
      <c r="G4" s="7"/>
      <c r="H4" s="7"/>
      <c r="I4" s="11"/>
      <c r="J4" s="1" t="s">
        <v>6</v>
      </c>
      <c r="K4" s="1"/>
      <c r="L4" s="1"/>
      <c r="M4" s="1"/>
      <c r="N4" s="1"/>
      <c r="O4" s="1"/>
      <c r="P4" s="12"/>
      <c r="Q4" s="13"/>
    </row>
    <row r="5" spans="1:17" ht="16.5">
      <c r="A5" s="14" t="s">
        <v>7</v>
      </c>
      <c r="B5" s="15"/>
      <c r="C5" s="16"/>
      <c r="D5" s="16"/>
      <c r="E5" s="17"/>
      <c r="F5" s="191" t="str">
        <f>IF(O9=1," MALE","FEMALE")</f>
        <v> MALE</v>
      </c>
      <c r="G5" s="192"/>
      <c r="H5" s="18" t="s">
        <v>8</v>
      </c>
      <c r="I5" s="19"/>
      <c r="J5" s="6" t="s">
        <v>9</v>
      </c>
      <c r="K5" s="1"/>
      <c r="L5" s="1"/>
      <c r="M5" s="1"/>
      <c r="N5" s="1"/>
      <c r="O5" s="1"/>
      <c r="P5" s="1"/>
      <c r="Q5" s="9"/>
    </row>
    <row r="6" spans="1:17" ht="12.75">
      <c r="A6" s="20" t="s">
        <v>10</v>
      </c>
      <c r="B6" s="8"/>
      <c r="C6" s="8"/>
      <c r="D6" s="8"/>
      <c r="E6" s="8"/>
      <c r="F6" s="8"/>
      <c r="G6" s="8"/>
      <c r="H6" s="8"/>
      <c r="I6" s="21"/>
      <c r="J6" s="22" t="s">
        <v>11</v>
      </c>
      <c r="K6" s="10"/>
      <c r="L6" s="10"/>
      <c r="M6" s="10"/>
      <c r="N6" s="10"/>
      <c r="O6" s="10"/>
      <c r="P6" s="22"/>
      <c r="Q6" s="23"/>
    </row>
    <row r="7" spans="1:17" ht="12.75">
      <c r="A7" s="195" t="s">
        <v>12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24">
        <v>2</v>
      </c>
      <c r="P7" s="25"/>
      <c r="Q7" s="13"/>
    </row>
    <row r="8" spans="1:17" ht="15.75">
      <c r="A8" s="198" t="s">
        <v>13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4">
        <v>0</v>
      </c>
      <c r="P8" s="26"/>
      <c r="Q8" s="13"/>
    </row>
    <row r="9" spans="1:17" ht="15.75">
      <c r="A9" s="198" t="s">
        <v>14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4">
        <v>1</v>
      </c>
      <c r="P9" s="26"/>
      <c r="Q9" s="13"/>
    </row>
    <row r="10" spans="1:17" ht="15.75">
      <c r="A10" s="200" t="s">
        <v>15</v>
      </c>
      <c r="B10" s="201"/>
      <c r="C10" s="201"/>
      <c r="D10" s="201"/>
      <c r="E10" s="201"/>
      <c r="F10" s="202" t="s">
        <v>16</v>
      </c>
      <c r="G10" s="202"/>
      <c r="H10" s="202"/>
      <c r="I10" s="202"/>
      <c r="J10" s="202"/>
      <c r="K10" s="202"/>
      <c r="L10" s="202"/>
      <c r="M10" s="202"/>
      <c r="N10" s="203"/>
      <c r="O10" s="24">
        <v>1</v>
      </c>
      <c r="P10" s="26"/>
      <c r="Q10" s="13"/>
    </row>
    <row r="11" spans="1:17" ht="15.75">
      <c r="A11" s="200" t="s">
        <v>17</v>
      </c>
      <c r="B11" s="201"/>
      <c r="C11" s="201"/>
      <c r="D11" s="201"/>
      <c r="E11" s="201"/>
      <c r="F11" s="202" t="s">
        <v>18</v>
      </c>
      <c r="G11" s="202"/>
      <c r="H11" s="202"/>
      <c r="I11" s="202"/>
      <c r="J11" s="202"/>
      <c r="K11" s="202"/>
      <c r="L11" s="202"/>
      <c r="M11" s="202"/>
      <c r="N11" s="203"/>
      <c r="O11" s="24">
        <v>0</v>
      </c>
      <c r="P11" s="26"/>
      <c r="Q11" s="13"/>
    </row>
    <row r="12" spans="1:17" ht="12.75">
      <c r="A12" s="264" t="s">
        <v>19</v>
      </c>
      <c r="B12" s="265"/>
      <c r="C12" s="27" t="s">
        <v>20</v>
      </c>
      <c r="D12" s="27" t="s">
        <v>21</v>
      </c>
      <c r="E12" s="27" t="s">
        <v>22</v>
      </c>
      <c r="F12" s="27" t="s">
        <v>23</v>
      </c>
      <c r="G12" s="27" t="s">
        <v>24</v>
      </c>
      <c r="H12" s="27" t="s">
        <v>25</v>
      </c>
      <c r="I12" s="27" t="s">
        <v>26</v>
      </c>
      <c r="J12" s="27" t="s">
        <v>27</v>
      </c>
      <c r="K12" s="27" t="s">
        <v>28</v>
      </c>
      <c r="L12" s="27" t="s">
        <v>29</v>
      </c>
      <c r="M12" s="27" t="s">
        <v>30</v>
      </c>
      <c r="N12" s="27" t="s">
        <v>31</v>
      </c>
      <c r="O12" s="28" t="s">
        <v>32</v>
      </c>
      <c r="P12" s="29"/>
      <c r="Q12" s="13"/>
    </row>
    <row r="13" spans="1:17" ht="12.75">
      <c r="A13" s="206" t="s">
        <v>33</v>
      </c>
      <c r="B13" s="207"/>
      <c r="C13" s="30">
        <v>0</v>
      </c>
      <c r="D13" s="31">
        <f aca="true" t="shared" si="0" ref="D13:F15">C13</f>
        <v>0</v>
      </c>
      <c r="E13" s="31">
        <f t="shared" si="0"/>
        <v>0</v>
      </c>
      <c r="F13" s="31">
        <f t="shared" si="0"/>
        <v>0</v>
      </c>
      <c r="G13" s="31">
        <f>CEILING((INT((C13)+(C13+C14)*3%)),10)</f>
        <v>0</v>
      </c>
      <c r="H13" s="31">
        <f>G13</f>
        <v>0</v>
      </c>
      <c r="I13" s="31">
        <f aca="true" t="shared" si="1" ref="H13:N16">H13</f>
        <v>0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2">
        <f>SUM(C13:N13)</f>
        <v>0</v>
      </c>
      <c r="P13" s="29"/>
      <c r="Q13" s="33"/>
    </row>
    <row r="14" spans="1:17" ht="12.75">
      <c r="A14" s="206" t="s">
        <v>34</v>
      </c>
      <c r="B14" s="207"/>
      <c r="C14" s="30">
        <v>0</v>
      </c>
      <c r="D14" s="31">
        <f t="shared" si="0"/>
        <v>0</v>
      </c>
      <c r="E14" s="31">
        <f t="shared" si="0"/>
        <v>0</v>
      </c>
      <c r="F14" s="31">
        <f t="shared" si="0"/>
        <v>0</v>
      </c>
      <c r="G14" s="31">
        <f>F14</f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2">
        <f>SUM(C14:N14)</f>
        <v>0</v>
      </c>
      <c r="P14" s="29"/>
      <c r="Q14" s="33"/>
    </row>
    <row r="15" spans="1:17" ht="12.75">
      <c r="A15" s="206" t="s">
        <v>35</v>
      </c>
      <c r="B15" s="207"/>
      <c r="C15" s="30"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>F15</f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2">
        <f>SUM(C15:N15)</f>
        <v>0</v>
      </c>
      <c r="P15" s="29"/>
      <c r="Q15" s="33"/>
    </row>
    <row r="16" spans="1:17" ht="12.75">
      <c r="A16" s="206" t="s">
        <v>36</v>
      </c>
      <c r="B16" s="207"/>
      <c r="C16" s="31">
        <v>27</v>
      </c>
      <c r="D16" s="31">
        <v>35</v>
      </c>
      <c r="E16" s="31">
        <f>D16</f>
        <v>35</v>
      </c>
      <c r="F16" s="31">
        <f>E16</f>
        <v>35</v>
      </c>
      <c r="G16" s="31">
        <f>F16</f>
        <v>35</v>
      </c>
      <c r="H16" s="31">
        <f t="shared" si="1"/>
        <v>35</v>
      </c>
      <c r="I16" s="31">
        <f t="shared" si="1"/>
        <v>35</v>
      </c>
      <c r="J16" s="34">
        <v>45</v>
      </c>
      <c r="K16" s="31">
        <f t="shared" si="1"/>
        <v>45</v>
      </c>
      <c r="L16" s="31">
        <f t="shared" si="1"/>
        <v>45</v>
      </c>
      <c r="M16" s="31">
        <f t="shared" si="1"/>
        <v>45</v>
      </c>
      <c r="N16" s="31">
        <f t="shared" si="1"/>
        <v>45</v>
      </c>
      <c r="O16" s="32"/>
      <c r="P16" s="8"/>
      <c r="Q16" s="33"/>
    </row>
    <row r="17" spans="1:17" ht="12.75">
      <c r="A17" s="206" t="s">
        <v>37</v>
      </c>
      <c r="B17" s="207"/>
      <c r="C17" s="35">
        <f>ROUND(((C13+C14+C21)*C16%),0)</f>
        <v>0</v>
      </c>
      <c r="D17" s="35">
        <f aca="true" t="shared" si="2" ref="D17:N17">ROUND(((D13+D14+D21)*D16%),0)</f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6">
        <f>SUM(C17:N17)</f>
        <v>0</v>
      </c>
      <c r="P17" s="8"/>
      <c r="Q17" s="37"/>
    </row>
    <row r="18" spans="1:17" ht="12.75">
      <c r="A18" s="206" t="s">
        <v>38</v>
      </c>
      <c r="B18" s="207"/>
      <c r="C18" s="35">
        <f>IF(O8=1,ROUND(((C13+C14)*30%),0),IF(O8=2,ROUND(((C13+C14)*20%),0),IF(O8=3,ROUND(((C13+C14)*10%),0),(0))))</f>
        <v>0</v>
      </c>
      <c r="D18" s="35">
        <f>IF(O8=1,MROUND(((D13+D14)*30%),1),IF(O8=2,MROUND(((D13+D14)*20%),1),IF(O8=3,MROUND(((D13+D14)*10%),1),(0))))</f>
        <v>0</v>
      </c>
      <c r="E18" s="35">
        <f>IF(O8=1,MROUND(((E13+E14)*30%),1),IF(O8=2,MROUND(((E13+E14)*20%),1),IF(O8=3,MROUND(((E13+E14)*10%),1),(0))))</f>
        <v>0</v>
      </c>
      <c r="F18" s="35">
        <f>IF(O8=1,MROUND(((F13+F14)*30%),1),IF(O8=2,MROUND(((F13+F14)*20%),1),IF(O8=3,MROUND(((F13+F14)*10%),1),(0))))</f>
        <v>0</v>
      </c>
      <c r="G18" s="35">
        <f>IF(O8=1,MROUND(((G13+G14)*30%),1),IF(O8=2,MROUND(((G13+G14)*20%),1),IF(O8=3,MROUND(((G13+G14)*10%),1),(0))))</f>
        <v>0</v>
      </c>
      <c r="H18" s="35">
        <f>IF(O8=1,MROUND(((H13+H14)*30%),1),IF(O8=2,MROUND(((H13+H14)*20%),1),IF(O8=3,MROUND(((H13+H14)*10%),1),(0))))</f>
        <v>0</v>
      </c>
      <c r="I18" s="35">
        <f>IF(O8=1,MROUND(((I13+I14)*30%),1),IF(O8=2,MROUND(((I13+I14)*20%),1),IF(O8=3,MROUND(((I13+I14)*10%),1),(0))))</f>
        <v>0</v>
      </c>
      <c r="J18" s="35">
        <f>IF(O8=1,MROUND(((J13+J14)*30%),1),IF(O8=2,MROUND(((J13+J14)*20%),1),IF(O8=3,MROUND(((J13+J14)*10%),1),(0))))</f>
        <v>0</v>
      </c>
      <c r="K18" s="35">
        <f>IF(O8=1,MROUND(((K13+K14)*30%),1),IF(O8=2,MROUND(((K13+K14)*20%),1),IF(O8=3,MROUND(((K13+K14)*10%),1),(0))))</f>
        <v>0</v>
      </c>
      <c r="L18" s="35">
        <f>IF(O8=1,MROUND(((L13+L14)*30%),1),IF(O8=2,MROUND(((L13+L14)*20%),1),IF(O8=3,MROUND(((L13+L14)*10%),1),(0))))</f>
        <v>0</v>
      </c>
      <c r="M18" s="35">
        <f>IF(O8=1,MROUND(((M13+M14)*30%),1),IF(O8=2,MROUND(((M13+M14)*20%),1),IF(O8=3,MROUND(((M13+M14)*10%),1),(0))))</f>
        <v>0</v>
      </c>
      <c r="N18" s="35">
        <f>IF(O8=1,MROUND(((N13+N14)*30%),1),IF(O8=2,MROUND(((N13+N14)*20%),1),IF(O8=3,MROUND(((N13+N14)*10%),1),(0))))</f>
        <v>0</v>
      </c>
      <c r="O18" s="36">
        <f>SUM(C18:N18)</f>
        <v>0</v>
      </c>
      <c r="P18" s="29"/>
      <c r="Q18" s="13"/>
    </row>
    <row r="19" spans="1:17" ht="12.75">
      <c r="A19" s="206" t="s">
        <v>39</v>
      </c>
      <c r="B19" s="207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6">
        <f>SUM(C19:N19)</f>
        <v>0</v>
      </c>
      <c r="P19" s="29"/>
      <c r="Q19" s="38"/>
    </row>
    <row r="20" spans="1:17" ht="12.75">
      <c r="A20" s="206" t="s">
        <v>40</v>
      </c>
      <c r="B20" s="207"/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6">
        <f>SUM(C20:N20)</f>
        <v>0</v>
      </c>
      <c r="P20" s="8"/>
      <c r="Q20" s="33"/>
    </row>
    <row r="21" spans="1:17" ht="12.75">
      <c r="A21" s="206" t="s">
        <v>41</v>
      </c>
      <c r="B21" s="207"/>
      <c r="C21" s="31">
        <f>IF(O11=1,ROUND(((C13+C14)*25%),0),(0))</f>
        <v>0</v>
      </c>
      <c r="D21" s="31">
        <f>IF(O11=1,ROUND(((D13+D14)*25%),0),(0))</f>
        <v>0</v>
      </c>
      <c r="E21" s="31">
        <f>IF(O11=1,ROUND(((E13+E14)*25%),0),(0))</f>
        <v>0</v>
      </c>
      <c r="F21" s="31">
        <f>IF(O11=1,ROUND(((F13+F14)*25%),0),(0))</f>
        <v>0</v>
      </c>
      <c r="G21" s="31">
        <f>IF(O11=1,ROUND(((G13+G14)*25%),0),(0))</f>
        <v>0</v>
      </c>
      <c r="H21" s="31">
        <f>IF(O11=1,ROUND(((H13+H14)*25%),0),(0))</f>
        <v>0</v>
      </c>
      <c r="I21" s="31">
        <f>IF(O11=1,ROUND(((I13+I14)*25%),0),(0))</f>
        <v>0</v>
      </c>
      <c r="J21" s="31">
        <f>IF(O11=1,ROUND(((J13+J14)*25%),0),(0))</f>
        <v>0</v>
      </c>
      <c r="K21" s="31">
        <f>IF(O11=1,ROUND(((K13+K14)*25%),0),(0))</f>
        <v>0</v>
      </c>
      <c r="L21" s="31">
        <f>IF(O11=1,ROUND(((L13+L14)*25%),0),(0))</f>
        <v>0</v>
      </c>
      <c r="M21" s="31">
        <f>IF(O11=1,ROUND(((M13+M14)*25%),0),(0))</f>
        <v>0</v>
      </c>
      <c r="N21" s="31">
        <f>IF(O11=1,ROUND(((N13+N14)*25%),0),(0))</f>
        <v>0</v>
      </c>
      <c r="O21" s="36">
        <f aca="true" t="shared" si="3" ref="O21:O29">SUM(C21:N21)</f>
        <v>0</v>
      </c>
      <c r="P21" s="8"/>
      <c r="Q21" s="33"/>
    </row>
    <row r="22" spans="1:17" ht="12.75">
      <c r="A22" s="206" t="s">
        <v>42</v>
      </c>
      <c r="B22" s="207"/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9">
        <f t="shared" si="3"/>
        <v>0</v>
      </c>
      <c r="P22" s="8"/>
      <c r="Q22" s="33"/>
    </row>
    <row r="23" spans="1:17" ht="12.75">
      <c r="A23" s="231" t="s">
        <v>43</v>
      </c>
      <c r="B23" s="208"/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6">
        <f t="shared" si="3"/>
        <v>0</v>
      </c>
      <c r="P23" s="8"/>
      <c r="Q23" s="33"/>
    </row>
    <row r="24" spans="1:17" ht="12.75">
      <c r="A24" s="206" t="s">
        <v>44</v>
      </c>
      <c r="B24" s="207"/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6">
        <f t="shared" si="3"/>
        <v>0</v>
      </c>
      <c r="P24" s="8"/>
      <c r="Q24" s="33"/>
    </row>
    <row r="25" spans="1:17" ht="12.75">
      <c r="A25" s="206" t="s">
        <v>45</v>
      </c>
      <c r="B25" s="207"/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6">
        <f t="shared" si="3"/>
        <v>0</v>
      </c>
      <c r="P25" s="8"/>
      <c r="Q25" s="33"/>
    </row>
    <row r="26" spans="1:17" ht="12.75">
      <c r="A26" s="209"/>
      <c r="B26" s="210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6">
        <f t="shared" si="3"/>
        <v>0</v>
      </c>
      <c r="P26" s="8"/>
      <c r="Q26" s="33"/>
    </row>
    <row r="27" spans="1:17" ht="12.75">
      <c r="A27" s="211"/>
      <c r="B27" s="212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6">
        <f t="shared" si="3"/>
        <v>0</v>
      </c>
      <c r="P27" s="8"/>
      <c r="Q27" s="33"/>
    </row>
    <row r="28" spans="1:17" ht="12.75">
      <c r="A28" s="211"/>
      <c r="B28" s="212"/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6">
        <f t="shared" si="3"/>
        <v>0</v>
      </c>
      <c r="P28" s="8"/>
      <c r="Q28" s="33"/>
    </row>
    <row r="29" spans="1:17" ht="12.75">
      <c r="A29" s="211"/>
      <c r="B29" s="212"/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6">
        <f t="shared" si="3"/>
        <v>0</v>
      </c>
      <c r="P29" s="8"/>
      <c r="Q29" s="33"/>
    </row>
    <row r="30" spans="1:17" ht="13.5">
      <c r="A30" s="213" t="s">
        <v>46</v>
      </c>
      <c r="B30" s="214"/>
      <c r="C30" s="40">
        <f>SUM(C13:C15)+SUM(C17:C29)</f>
        <v>0</v>
      </c>
      <c r="D30" s="40">
        <f aca="true" t="shared" si="4" ref="D30:N30">SUM(D13:D15)+SUM(D17:D29)</f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39">
        <f aca="true" t="shared" si="5" ref="O30:O38">SUM(C30:N30)</f>
        <v>0</v>
      </c>
      <c r="P30" s="41"/>
      <c r="Q30" s="33"/>
    </row>
    <row r="31" spans="1:17" ht="12.75">
      <c r="A31" s="206" t="s">
        <v>47</v>
      </c>
      <c r="B31" s="207"/>
      <c r="C31" s="35">
        <f>IF(O7=2,IF(C14=0,0,IF(AND(C14&gt;0,C14&lt;4200),(400+400*C16%),IF(AND(C14&gt;=4200,C14&lt;=4800),(800+800*C16%),(1600+1600*C16%)))),IF(O7=1,IF(C14=0,0,IF(AND(C14&gt;0,C14&lt;4200),(600+600*C16%),IF(AND(C14&gt;=4200,C14&lt;=4800),(1600+1600*C16%),(3200+3200*C16%))))))</f>
        <v>0</v>
      </c>
      <c r="D31" s="35">
        <f>IF(O7=2,IF(D14=0,0,IF(AND(D14&gt;0,D14&lt;4200),(400+400*D16%),IF(AND(D14&gt;=4200,D14&lt;=4800),(800+800*D16%),(1600+1600*D16%)))),IF(O7=1,IF(D14=0,0,IF(AND(D14&gt;0,D14&lt;4200),(600+600*D16%),IF(AND(D14&gt;=4200,D14&lt;=4800),(1600+1600*D16%),(3200+3200*D16%))))))</f>
        <v>0</v>
      </c>
      <c r="E31" s="35">
        <f>IF(O7=2,IF(E14=0,0,IF(AND(E14&gt;0,E14&lt;4200),(400+400*E16%),IF(AND(E14&gt;=4200,E14&lt;=4800),(800+800*E16%),(1600+1600*E16%)))),IF(O7=1,IF(E14=0,0,IF(AND(E14&gt;0,E14&lt;4200),(600+600*E16%),IF(AND(E14&gt;=4200,E14&lt;=4800),(1600+1600*E16%),(3200+3200*E16%))))))</f>
        <v>0</v>
      </c>
      <c r="F31" s="35">
        <f>IF(O7=2,IF(F14=0,0,IF(AND(F14&gt;0,F14&lt;4200),(400+400*F16%),IF(AND(F14&gt;=4200,F14&lt;=4800),(800+800*F16%),(1600+1600*F16%)))),IF(O7=1,IF(F14=0,0,IF(AND(F14&gt;0,F14&lt;4200),(600+600*F16%),IF(AND(F14&gt;=4200,F14&lt;=4800),(1600+1600*F16%),(3200+3200*F16%))))))</f>
        <v>0</v>
      </c>
      <c r="G31" s="35">
        <f>IF(O7=2,IF(G14=0,0,IF(AND(G14&gt;0,G14&lt;4200),(400+400*G16%),IF(AND(G14&gt;=4200,G14&lt;=4800),(800+800*G16%),(1600+1600*G16%)))),IF(O7=1,IF(G14=0,0,IF(AND(G14&gt;0,G14&lt;4200),(600+600*G16%),IF(AND(G14&gt;=4200,G14&lt;=4800),(1600+1600*G16%),(3200+3200*G16%))))))</f>
        <v>0</v>
      </c>
      <c r="H31" s="35">
        <f>IF(O7=2,IF(H14=0,0,IF(AND(H14&gt;0,H14&lt;4200),(400+400*H16%),IF(AND(H14&gt;=4200,H14&lt;=4800),(800+800*H16%),(1600+1600*H16%)))),IF(O7=1,IF(H14=0,0,IF(AND(H14&gt;0,H14&lt;4200),(600+600*H16%),IF(AND(H14&gt;=4200,H14&lt;=4800),(1600+1600*H16%),(3200+3200*H16%))))))</f>
        <v>0</v>
      </c>
      <c r="I31" s="35">
        <f>IF(O7=2,IF(I14=0,0,IF(AND(I14&gt;0,I14&lt;4200),(400+400*I16%),IF(AND(I14&gt;=4200,I14&lt;=4800),(800+800*I16%),(1600+1600*I16%)))),IF(O7=1,IF(I14=0,0,IF(AND(I14&gt;0,I14&lt;4200),(600+600*I16%),IF(AND(I14&gt;=4200,I14&lt;=4800),(1600+1600*I16%),(3200+3200*I16%))))))</f>
        <v>0</v>
      </c>
      <c r="J31" s="35">
        <f>IF(O7=2,IF(J14=0,0,IF(AND(J14&gt;0,J14&lt;4200),(400+400*J16%),IF(AND(J14&gt;=4200,J14&lt;=4800),(800+800*J16%),(1600+1600*J16%)))),IF(O7=1,IF(J14=0,0,IF(AND(J14&gt;0,J14&lt;4200),(600+600*J16%),IF(AND(J14&gt;=4200,J14&lt;=4800),(1600+1600*J16%),(3200+3200*J16%))))))</f>
        <v>0</v>
      </c>
      <c r="K31" s="35">
        <f>IF(O7=2,IF(K14=0,0,IF(AND(K14&gt;0,K14&lt;4200),(400+400*K16%),IF(AND(K14&gt;=4200,K14&lt;=4800),(800+800*K16%),(1600+1600*K16%)))),IF(O7=1,IF(K14=0,0,IF(AND(K14&gt;0,K14&lt;4200),(600+600*K16%),IF(AND(K14&gt;=4200,K14&lt;=4800),(1600+1600*K16%),(3200+3200*K16%))))))</f>
        <v>0</v>
      </c>
      <c r="L31" s="35">
        <f>IF(O7=2,IF(L14=0,0,IF(AND(L14&gt;0,L14&lt;4200),(400+400*L16%),IF(AND(L14&gt;=4200,L14&lt;=4800),(800+800*L16%),(1600+1600*L16%)))),IF(O7=1,IF(L14=0,0,IF(AND(L14&gt;0,L14&lt;4200),(600+600*L16%),IF(AND(L14&gt;=4200,L14&lt;=4800),(1600+1600*L16%),(3200+3200*L16%))))))</f>
        <v>0</v>
      </c>
      <c r="M31" s="35">
        <f>IF(O7=2,IF(M14=0,0,IF(AND(M14&gt;0,M14&lt;4200),(400+400*M16%),IF(AND(M14&gt;=4200,M14&lt;=4800),(800+800*M16%),(1600+1600*M16%)))),IF(O7=1,IF(M14=0,0,IF(AND(M14&gt;0,M14&lt;4200),(600+600*M16%),IF(AND(M14&gt;=4200,M14&lt;=4800),(1600+1600*M16%),(3200+3200*M16%))))))</f>
        <v>0</v>
      </c>
      <c r="N31" s="35">
        <f>IF(O7=2,IF(N14=0,0,IF(AND(N14&gt;0,N14&lt;4200),(400+400*N16%),IF(AND(N14&gt;=4200,N14&lt;=4800),(800+800*N16%),(1600+1600*N16%)))),IF(O7=1,IF(N14=0,0,IF(AND(N14&gt;0,N14&lt;4200),(600+600*N16%),IF(AND(N14&gt;=4200,N14&lt;=4800),(1600+1600*N16%),(3200+3200*N16%))))))</f>
        <v>0</v>
      </c>
      <c r="O31" s="32">
        <f t="shared" si="5"/>
        <v>0</v>
      </c>
      <c r="P31" s="8"/>
      <c r="Q31" s="33"/>
    </row>
    <row r="32" spans="1:17" ht="12.75">
      <c r="A32" s="206" t="s">
        <v>48</v>
      </c>
      <c r="B32" s="207"/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2">
        <f t="shared" si="5"/>
        <v>0</v>
      </c>
      <c r="P32" s="8"/>
      <c r="Q32" s="33"/>
    </row>
    <row r="33" spans="1:17" ht="12.75">
      <c r="A33" s="206" t="s">
        <v>49</v>
      </c>
      <c r="B33" s="207"/>
      <c r="C33" s="42">
        <f>IF(O10=1,ROUND(((C13+C14)*30%),0),IF(O10=2,ROUND(((C13+C14)*15%),0),(0)))</f>
        <v>0</v>
      </c>
      <c r="D33" s="42">
        <f>IF(O10=1,ROUND(((D13+D14)*30%),0),IF(O10=2,ROUND(((D13+D14)*15%),0),(0)))</f>
        <v>0</v>
      </c>
      <c r="E33" s="42">
        <f>IF(O10=1,ROUND(((E13+E14)*30%),0),IF(O10=2,ROUND(((E13+E14)*15%),0),(0)))</f>
        <v>0</v>
      </c>
      <c r="F33" s="42">
        <f>IF(O10=1,ROUND(((F13+F14)*30%),0),IF(O10=2,ROUND(((F13+F14)*15%),0),(0)))</f>
        <v>0</v>
      </c>
      <c r="G33" s="42">
        <f>IF(O10=1,ROUND(((G13+G14)*30%),0),IF(O10=2,ROUND(((G13+G14)*15%),0),(0)))</f>
        <v>0</v>
      </c>
      <c r="H33" s="42">
        <f>IF(O10=1,ROUND(((H13+H14)*30%),0),IF(O10=2,ROUND(((H13+H14)*15%),0),(0)))</f>
        <v>0</v>
      </c>
      <c r="I33" s="42">
        <f>IF(O10=1,ROUND(((I13+I14)*30%),0),IF(O10=2,ROUND(((I13+I14)*15%),0),(0)))</f>
        <v>0</v>
      </c>
      <c r="J33" s="42">
        <f>IF(O10=1,ROUND(((J13+J14)*30%),0),IF(O10=2,ROUND(((J13+J14)*15%),0),(0)))</f>
        <v>0</v>
      </c>
      <c r="K33" s="42">
        <f>IF(O10=1,ROUND(((K13+K14)*30%),0),IF(O10=2,ROUND(((K13+K14)*15%),0),(0)))</f>
        <v>0</v>
      </c>
      <c r="L33" s="42">
        <f>IF(O10=1,ROUND(((L13+L14)*30%),0),IF(O10=2,ROUND(((L13+L14)*15%),0),(0)))</f>
        <v>0</v>
      </c>
      <c r="M33" s="42">
        <f>IF(O10=1,ROUND(((M13+M14)*30%),0),IF(O10=2,ROUND(((M13+M14)*15%),0),(0)))</f>
        <v>0</v>
      </c>
      <c r="N33" s="42">
        <f>IF(O10=1,ROUND(((N13+N14)*30%),0),IF(O10=2,ROUND(((N13+N14)*15%),0),(0)))</f>
        <v>0</v>
      </c>
      <c r="O33" s="32">
        <f t="shared" si="5"/>
        <v>0</v>
      </c>
      <c r="P33" s="8"/>
      <c r="Q33" s="33"/>
    </row>
    <row r="34" spans="1:17" ht="12.75">
      <c r="A34" s="206" t="s">
        <v>50</v>
      </c>
      <c r="B34" s="207"/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2">
        <f t="shared" si="5"/>
        <v>0</v>
      </c>
      <c r="P34" s="8"/>
      <c r="Q34" s="33"/>
    </row>
    <row r="35" spans="1:17" ht="12.75">
      <c r="A35" s="206"/>
      <c r="B35" s="207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2">
        <f t="shared" si="5"/>
        <v>0</v>
      </c>
      <c r="P35" s="8"/>
      <c r="Q35" s="33"/>
    </row>
    <row r="36" spans="1:17" ht="12.75">
      <c r="A36" s="206"/>
      <c r="B36" s="207"/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f t="shared" si="5"/>
        <v>0</v>
      </c>
      <c r="P36" s="8"/>
      <c r="Q36" s="33"/>
    </row>
    <row r="37" spans="1:17" ht="13.5">
      <c r="A37" s="213" t="s">
        <v>51</v>
      </c>
      <c r="B37" s="214"/>
      <c r="C37" s="40">
        <f>SUM(C31:C36)</f>
        <v>0</v>
      </c>
      <c r="D37" s="40">
        <f aca="true" t="shared" si="6" ref="D37:N37">SUM(D31:D36)</f>
        <v>0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0</v>
      </c>
      <c r="J37" s="40">
        <f t="shared" si="6"/>
        <v>0</v>
      </c>
      <c r="K37" s="40">
        <f t="shared" si="6"/>
        <v>0</v>
      </c>
      <c r="L37" s="40">
        <f t="shared" si="6"/>
        <v>0</v>
      </c>
      <c r="M37" s="40">
        <f t="shared" si="6"/>
        <v>0</v>
      </c>
      <c r="N37" s="40">
        <f t="shared" si="6"/>
        <v>0</v>
      </c>
      <c r="O37" s="36">
        <f t="shared" si="5"/>
        <v>0</v>
      </c>
      <c r="P37" s="8"/>
      <c r="Q37" s="33"/>
    </row>
    <row r="38" spans="1:17" ht="12.75">
      <c r="A38" s="215" t="s">
        <v>52</v>
      </c>
      <c r="B38" s="216"/>
      <c r="C38" s="43">
        <f aca="true" t="shared" si="7" ref="C38:N38">SUM(C30+C37)</f>
        <v>0</v>
      </c>
      <c r="D38" s="43">
        <f t="shared" si="7"/>
        <v>0</v>
      </c>
      <c r="E38" s="43">
        <f t="shared" si="7"/>
        <v>0</v>
      </c>
      <c r="F38" s="43">
        <f t="shared" si="7"/>
        <v>0</v>
      </c>
      <c r="G38" s="43">
        <f t="shared" si="7"/>
        <v>0</v>
      </c>
      <c r="H38" s="43">
        <f t="shared" si="7"/>
        <v>0</v>
      </c>
      <c r="I38" s="43">
        <f t="shared" si="7"/>
        <v>0</v>
      </c>
      <c r="J38" s="43">
        <f t="shared" si="7"/>
        <v>0</v>
      </c>
      <c r="K38" s="43">
        <f t="shared" si="7"/>
        <v>0</v>
      </c>
      <c r="L38" s="43">
        <f t="shared" si="7"/>
        <v>0</v>
      </c>
      <c r="M38" s="43">
        <f t="shared" si="7"/>
        <v>0</v>
      </c>
      <c r="N38" s="43">
        <f t="shared" si="7"/>
        <v>0</v>
      </c>
      <c r="O38" s="36">
        <f t="shared" si="5"/>
        <v>0</v>
      </c>
      <c r="P38" s="8"/>
      <c r="Q38" s="33"/>
    </row>
    <row r="39" spans="1:17" ht="12.75">
      <c r="A39" s="206" t="s">
        <v>53</v>
      </c>
      <c r="B39" s="207"/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9">
        <f>SUM(C39:N39)</f>
        <v>0</v>
      </c>
      <c r="P39" s="8"/>
      <c r="Q39" s="33"/>
    </row>
    <row r="40" spans="1:17" ht="12.75">
      <c r="A40" s="217" t="s">
        <v>54</v>
      </c>
      <c r="B40" s="218"/>
      <c r="C40" s="44">
        <f>SUM(C38:C39)</f>
        <v>0</v>
      </c>
      <c r="D40" s="44">
        <f aca="true" t="shared" si="8" ref="D40:N40">SUM(D38:D39)</f>
        <v>0</v>
      </c>
      <c r="E40" s="44">
        <f t="shared" si="8"/>
        <v>0</v>
      </c>
      <c r="F40" s="44">
        <f t="shared" si="8"/>
        <v>0</v>
      </c>
      <c r="G40" s="44">
        <f t="shared" si="8"/>
        <v>0</v>
      </c>
      <c r="H40" s="44">
        <f t="shared" si="8"/>
        <v>0</v>
      </c>
      <c r="I40" s="44">
        <f t="shared" si="8"/>
        <v>0</v>
      </c>
      <c r="J40" s="44">
        <f t="shared" si="8"/>
        <v>0</v>
      </c>
      <c r="K40" s="44">
        <f t="shared" si="8"/>
        <v>0</v>
      </c>
      <c r="L40" s="44">
        <f t="shared" si="8"/>
        <v>0</v>
      </c>
      <c r="M40" s="44">
        <f t="shared" si="8"/>
        <v>0</v>
      </c>
      <c r="N40" s="44">
        <f t="shared" si="8"/>
        <v>0</v>
      </c>
      <c r="O40" s="44">
        <f>SUM(C40:N40)</f>
        <v>0</v>
      </c>
      <c r="P40" s="8"/>
      <c r="Q40" s="33"/>
    </row>
    <row r="41" spans="1:17" ht="12.75">
      <c r="A41" s="264" t="s">
        <v>55</v>
      </c>
      <c r="B41" s="265"/>
      <c r="C41" s="45" t="s">
        <v>56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8"/>
      <c r="Q41" s="33"/>
    </row>
    <row r="42" spans="1:17" ht="12.75">
      <c r="A42" s="206" t="s">
        <v>57</v>
      </c>
      <c r="B42" s="207"/>
      <c r="C42" s="35">
        <f>ROUND(((C13+C14)/12),0)</f>
        <v>0</v>
      </c>
      <c r="D42" s="35">
        <f aca="true" t="shared" si="9" ref="D42:N42">ROUND(((D13+D14)/12),0)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9">
        <f aca="true" t="shared" si="10" ref="O42:O48">SUM(C42:N42)</f>
        <v>0</v>
      </c>
      <c r="P42" s="8"/>
      <c r="Q42" s="33"/>
    </row>
    <row r="43" spans="1:17" ht="12.75">
      <c r="A43" s="206" t="s">
        <v>58</v>
      </c>
      <c r="B43" s="207"/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9">
        <f t="shared" si="10"/>
        <v>0</v>
      </c>
      <c r="P43" s="8"/>
      <c r="Q43" s="33"/>
    </row>
    <row r="44" spans="1:17" ht="12.75">
      <c r="A44" s="206" t="s">
        <v>59</v>
      </c>
      <c r="B44" s="207"/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9">
        <f t="shared" si="10"/>
        <v>0</v>
      </c>
      <c r="P44" s="8"/>
      <c r="Q44" s="33"/>
    </row>
    <row r="45" spans="1:17" ht="12.75">
      <c r="A45" s="206" t="s">
        <v>60</v>
      </c>
      <c r="B45" s="207"/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9">
        <f t="shared" si="10"/>
        <v>0</v>
      </c>
      <c r="P45" s="8"/>
      <c r="Q45" s="33"/>
    </row>
    <row r="46" spans="1:17" ht="12.75">
      <c r="A46" s="206" t="s">
        <v>61</v>
      </c>
      <c r="B46" s="207"/>
      <c r="C46" s="30">
        <v>0</v>
      </c>
      <c r="D46" s="30">
        <v>0</v>
      </c>
      <c r="E46" s="30">
        <f aca="true" t="shared" si="11" ref="E46:N46">D46</f>
        <v>0</v>
      </c>
      <c r="F46" s="30">
        <f t="shared" si="11"/>
        <v>0</v>
      </c>
      <c r="G46" s="30">
        <f t="shared" si="11"/>
        <v>0</v>
      </c>
      <c r="H46" s="30">
        <f t="shared" si="11"/>
        <v>0</v>
      </c>
      <c r="I46" s="30">
        <f t="shared" si="11"/>
        <v>0</v>
      </c>
      <c r="J46" s="30">
        <f t="shared" si="11"/>
        <v>0</v>
      </c>
      <c r="K46" s="30">
        <f t="shared" si="11"/>
        <v>0</v>
      </c>
      <c r="L46" s="30">
        <f t="shared" si="11"/>
        <v>0</v>
      </c>
      <c r="M46" s="30">
        <f t="shared" si="11"/>
        <v>0</v>
      </c>
      <c r="N46" s="30">
        <f t="shared" si="11"/>
        <v>0</v>
      </c>
      <c r="O46" s="39">
        <f t="shared" si="10"/>
        <v>0</v>
      </c>
      <c r="P46" s="8"/>
      <c r="Q46" s="33"/>
    </row>
    <row r="47" spans="1:17" ht="12.75">
      <c r="A47" s="206" t="s">
        <v>62</v>
      </c>
      <c r="B47" s="207"/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9">
        <f t="shared" si="10"/>
        <v>0</v>
      </c>
      <c r="P47" s="8"/>
      <c r="Q47" s="33"/>
    </row>
    <row r="48" spans="1:17" ht="12.75">
      <c r="A48" s="206" t="s">
        <v>63</v>
      </c>
      <c r="B48" s="207"/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9">
        <f t="shared" si="10"/>
        <v>0</v>
      </c>
      <c r="P48" s="8"/>
      <c r="Q48" s="33"/>
    </row>
    <row r="49" spans="1:17" ht="12.75">
      <c r="A49" s="206" t="s">
        <v>64</v>
      </c>
      <c r="B49" s="207"/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9">
        <f aca="true" t="shared" si="12" ref="O49:O57">SUM(C49:N49)</f>
        <v>0</v>
      </c>
      <c r="P49" s="8"/>
      <c r="Q49" s="33"/>
    </row>
    <row r="50" spans="1:17" ht="12.75">
      <c r="A50" s="206" t="s">
        <v>65</v>
      </c>
      <c r="B50" s="207"/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9">
        <f t="shared" si="12"/>
        <v>0</v>
      </c>
      <c r="P50" s="8"/>
      <c r="Q50" s="33"/>
    </row>
    <row r="51" spans="1:17" ht="12.75">
      <c r="A51" s="206" t="s">
        <v>66</v>
      </c>
      <c r="B51" s="207"/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9">
        <f t="shared" si="12"/>
        <v>0</v>
      </c>
      <c r="P51" s="8"/>
      <c r="Q51" s="33"/>
    </row>
    <row r="52" spans="1:17" ht="12.75">
      <c r="A52" s="206" t="s">
        <v>67</v>
      </c>
      <c r="B52" s="207"/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9">
        <f t="shared" si="12"/>
        <v>0</v>
      </c>
      <c r="P52" s="8"/>
      <c r="Q52" s="33"/>
    </row>
    <row r="53" spans="1:17" ht="12.75">
      <c r="A53" s="206" t="s">
        <v>68</v>
      </c>
      <c r="B53" s="207"/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9">
        <f t="shared" si="12"/>
        <v>0</v>
      </c>
      <c r="P53" s="8"/>
      <c r="Q53" s="33"/>
    </row>
    <row r="54" spans="1:17" ht="12.75">
      <c r="A54" s="206" t="s">
        <v>69</v>
      </c>
      <c r="B54" s="207"/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9">
        <f t="shared" si="12"/>
        <v>0</v>
      </c>
      <c r="P54" s="8"/>
      <c r="Q54" s="33"/>
    </row>
    <row r="55" spans="1:17" ht="12.75">
      <c r="A55" s="206"/>
      <c r="B55" s="207"/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9">
        <f t="shared" si="12"/>
        <v>0</v>
      </c>
      <c r="P55" s="8"/>
      <c r="Q55" s="33"/>
    </row>
    <row r="56" spans="1:17" ht="12.75">
      <c r="A56" s="206"/>
      <c r="B56" s="207"/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9">
        <f t="shared" si="12"/>
        <v>0</v>
      </c>
      <c r="P56" s="8"/>
      <c r="Q56" s="33"/>
    </row>
    <row r="57" spans="1:17" ht="12.75">
      <c r="A57" s="206"/>
      <c r="B57" s="207"/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9">
        <f t="shared" si="12"/>
        <v>0</v>
      </c>
      <c r="P57" s="8"/>
      <c r="Q57" s="33"/>
    </row>
    <row r="58" spans="1:17" ht="12.75">
      <c r="A58" s="219" t="s">
        <v>70</v>
      </c>
      <c r="B58" s="220"/>
      <c r="C58" s="48">
        <f>SUM(C42:C57)</f>
        <v>0</v>
      </c>
      <c r="D58" s="48">
        <f aca="true" t="shared" si="13" ref="D58:N58">SUM(D42:D57)</f>
        <v>0</v>
      </c>
      <c r="E58" s="48">
        <f t="shared" si="13"/>
        <v>0</v>
      </c>
      <c r="F58" s="48">
        <f t="shared" si="13"/>
        <v>0</v>
      </c>
      <c r="G58" s="48">
        <f t="shared" si="13"/>
        <v>0</v>
      </c>
      <c r="H58" s="48">
        <f t="shared" si="13"/>
        <v>0</v>
      </c>
      <c r="I58" s="48">
        <f t="shared" si="13"/>
        <v>0</v>
      </c>
      <c r="J58" s="48">
        <f t="shared" si="13"/>
        <v>0</v>
      </c>
      <c r="K58" s="48">
        <f t="shared" si="13"/>
        <v>0</v>
      </c>
      <c r="L58" s="48">
        <f t="shared" si="13"/>
        <v>0</v>
      </c>
      <c r="M58" s="48">
        <f t="shared" si="13"/>
        <v>0</v>
      </c>
      <c r="N58" s="48">
        <f t="shared" si="13"/>
        <v>0</v>
      </c>
      <c r="O58" s="39">
        <f>SUM(C58:N58)</f>
        <v>0</v>
      </c>
      <c r="P58" s="8"/>
      <c r="Q58" s="33"/>
    </row>
    <row r="59" spans="1:17" ht="12.75">
      <c r="A59" s="221" t="s">
        <v>71</v>
      </c>
      <c r="B59" s="222"/>
      <c r="C59" s="39">
        <f aca="true" t="shared" si="14" ref="C59:N59">(C38-C58)</f>
        <v>0</v>
      </c>
      <c r="D59" s="39">
        <f t="shared" si="14"/>
        <v>0</v>
      </c>
      <c r="E59" s="39">
        <f t="shared" si="14"/>
        <v>0</v>
      </c>
      <c r="F59" s="4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 t="shared" si="14"/>
        <v>0</v>
      </c>
      <c r="K59" s="39">
        <f t="shared" si="14"/>
        <v>0</v>
      </c>
      <c r="L59" s="39">
        <f t="shared" si="14"/>
        <v>0</v>
      </c>
      <c r="M59" s="39">
        <f t="shared" si="14"/>
        <v>0</v>
      </c>
      <c r="N59" s="39">
        <f t="shared" si="14"/>
        <v>0</v>
      </c>
      <c r="O59" s="39">
        <f>SUM(C59:N59)</f>
        <v>0</v>
      </c>
      <c r="P59" s="8"/>
      <c r="Q59" s="33"/>
    </row>
    <row r="60" spans="1:17" ht="12.75">
      <c r="A60" s="266" t="str">
        <f>IF(O9=1," INCOME","INCOME")</f>
        <v> INCOME</v>
      </c>
      <c r="B60" s="267"/>
      <c r="C60" s="268"/>
      <c r="D60" s="50"/>
      <c r="E60" s="51"/>
      <c r="F60" s="224" t="s">
        <v>72</v>
      </c>
      <c r="G60" s="225"/>
      <c r="H60" s="225"/>
      <c r="I60" s="225"/>
      <c r="J60" s="225"/>
      <c r="K60" s="225"/>
      <c r="L60" s="225"/>
      <c r="M60" s="226"/>
      <c r="N60" s="52"/>
      <c r="O60" s="52"/>
      <c r="P60" s="53"/>
      <c r="Q60" s="33"/>
    </row>
    <row r="61" spans="1:17" ht="12.75">
      <c r="A61" s="206" t="s">
        <v>46</v>
      </c>
      <c r="B61" s="207"/>
      <c r="C61" s="54">
        <f>((O30+O39)-70%*O22)</f>
        <v>0</v>
      </c>
      <c r="D61" s="53"/>
      <c r="E61" s="51"/>
      <c r="F61" s="227" t="s">
        <v>73</v>
      </c>
      <c r="G61" s="228"/>
      <c r="H61" s="55" t="s">
        <v>74</v>
      </c>
      <c r="I61" s="56" t="s">
        <v>75</v>
      </c>
      <c r="J61" s="229" t="s">
        <v>73</v>
      </c>
      <c r="K61" s="227"/>
      <c r="L61" s="230"/>
      <c r="M61" s="55" t="s">
        <v>74</v>
      </c>
      <c r="N61" s="53"/>
      <c r="O61" s="53"/>
      <c r="P61" s="53"/>
      <c r="Q61" s="33"/>
    </row>
    <row r="62" spans="1:17" ht="12.75">
      <c r="A62" s="231" t="s">
        <v>76</v>
      </c>
      <c r="B62" s="208"/>
      <c r="C62" s="54">
        <f>IF(O31&lt;=9600,0,(O31-9600))</f>
        <v>0</v>
      </c>
      <c r="D62" s="57"/>
      <c r="E62" s="51"/>
      <c r="F62" s="232" t="s">
        <v>77</v>
      </c>
      <c r="G62" s="233"/>
      <c r="H62" s="30">
        <v>0</v>
      </c>
      <c r="I62" s="35">
        <f>MIN(H62,35000)</f>
        <v>0</v>
      </c>
      <c r="J62" s="234" t="s">
        <v>78</v>
      </c>
      <c r="K62" s="235"/>
      <c r="L62" s="236"/>
      <c r="M62" s="58">
        <f>O89</f>
        <v>0</v>
      </c>
      <c r="N62" s="53"/>
      <c r="O62" s="53"/>
      <c r="P62" s="53"/>
      <c r="Q62" s="33"/>
    </row>
    <row r="63" spans="1:17" ht="12.75">
      <c r="A63" s="206" t="s">
        <v>79</v>
      </c>
      <c r="B63" s="207"/>
      <c r="C63" s="54">
        <f>M82</f>
        <v>0</v>
      </c>
      <c r="D63" s="53"/>
      <c r="E63" s="51"/>
      <c r="F63" s="232" t="s">
        <v>80</v>
      </c>
      <c r="G63" s="233"/>
      <c r="H63" s="30">
        <v>0</v>
      </c>
      <c r="I63" s="35">
        <f>MIN(H63,50000)</f>
        <v>0</v>
      </c>
      <c r="J63" s="237" t="s">
        <v>81</v>
      </c>
      <c r="K63" s="238"/>
      <c r="L63" s="207"/>
      <c r="M63" s="30">
        <v>0</v>
      </c>
      <c r="N63" s="53"/>
      <c r="O63" s="53"/>
      <c r="P63" s="53"/>
      <c r="Q63" s="33"/>
    </row>
    <row r="64" spans="1:17" ht="12.75">
      <c r="A64" s="239" t="s">
        <v>82</v>
      </c>
      <c r="B64" s="240"/>
      <c r="C64" s="54">
        <f>SUM(C61:C63)</f>
        <v>0</v>
      </c>
      <c r="D64" s="53"/>
      <c r="E64" s="51"/>
      <c r="F64" s="232" t="s">
        <v>83</v>
      </c>
      <c r="G64" s="233"/>
      <c r="H64" s="30">
        <v>0</v>
      </c>
      <c r="I64" s="35">
        <f>MIN(H64,40000)</f>
        <v>0</v>
      </c>
      <c r="J64" s="237" t="s">
        <v>84</v>
      </c>
      <c r="K64" s="238"/>
      <c r="L64" s="207"/>
      <c r="M64" s="30">
        <v>0</v>
      </c>
      <c r="N64" s="53"/>
      <c r="O64" s="53"/>
      <c r="P64" s="53"/>
      <c r="Q64" s="33"/>
    </row>
    <row r="65" spans="1:17" ht="12.75">
      <c r="A65" s="206" t="s">
        <v>85</v>
      </c>
      <c r="B65" s="207"/>
      <c r="C65" s="54">
        <f>(O42+O43+O44+O48)</f>
        <v>0</v>
      </c>
      <c r="D65" s="53"/>
      <c r="E65" s="51"/>
      <c r="F65" s="232" t="s">
        <v>86</v>
      </c>
      <c r="G65" s="233"/>
      <c r="H65" s="30">
        <v>0</v>
      </c>
      <c r="I65" s="35">
        <f>H65</f>
        <v>0</v>
      </c>
      <c r="J65" s="237" t="s">
        <v>87</v>
      </c>
      <c r="K65" s="238"/>
      <c r="L65" s="207"/>
      <c r="M65" s="30">
        <v>0</v>
      </c>
      <c r="N65" s="59"/>
      <c r="O65" s="53"/>
      <c r="P65" s="53"/>
      <c r="Q65" s="33"/>
    </row>
    <row r="66" spans="1:17" ht="12.75">
      <c r="A66" s="206" t="s">
        <v>88</v>
      </c>
      <c r="B66" s="207"/>
      <c r="C66" s="54">
        <f>M75</f>
        <v>0</v>
      </c>
      <c r="D66" s="53"/>
      <c r="E66" s="51"/>
      <c r="F66" s="232" t="s">
        <v>89</v>
      </c>
      <c r="G66" s="233"/>
      <c r="H66" s="30">
        <v>0</v>
      </c>
      <c r="I66" s="35">
        <f>H66</f>
        <v>0</v>
      </c>
      <c r="J66" s="237" t="s">
        <v>90</v>
      </c>
      <c r="K66" s="235"/>
      <c r="L66" s="236"/>
      <c r="M66" s="30">
        <v>0</v>
      </c>
      <c r="N66" s="53"/>
      <c r="O66" s="53"/>
      <c r="P66" s="53"/>
      <c r="Q66" s="33"/>
    </row>
    <row r="67" spans="1:17" ht="12.75">
      <c r="A67" s="206" t="s">
        <v>91</v>
      </c>
      <c r="B67" s="207"/>
      <c r="C67" s="54">
        <f>MIN((C65+M73),100000)+MIN(M74,20000)</f>
        <v>0</v>
      </c>
      <c r="D67" s="60"/>
      <c r="E67" s="51"/>
      <c r="F67" s="232" t="s">
        <v>92</v>
      </c>
      <c r="G67" s="233"/>
      <c r="H67" s="30">
        <v>0</v>
      </c>
      <c r="I67" s="35">
        <f>H67</f>
        <v>0</v>
      </c>
      <c r="J67" s="237" t="s">
        <v>93</v>
      </c>
      <c r="K67" s="235"/>
      <c r="L67" s="236"/>
      <c r="M67" s="30">
        <v>0</v>
      </c>
      <c r="N67" s="53"/>
      <c r="O67" s="53"/>
      <c r="P67" s="53"/>
      <c r="Q67" s="33"/>
    </row>
    <row r="68" spans="1:17" ht="12.75">
      <c r="A68" s="206" t="s">
        <v>61</v>
      </c>
      <c r="B68" s="207"/>
      <c r="C68" s="54">
        <f>(O46)</f>
        <v>0</v>
      </c>
      <c r="D68" s="53"/>
      <c r="E68" s="51"/>
      <c r="F68" s="232" t="s">
        <v>94</v>
      </c>
      <c r="G68" s="233"/>
      <c r="H68" s="30">
        <v>0</v>
      </c>
      <c r="I68" s="35">
        <f>H68</f>
        <v>0</v>
      </c>
      <c r="J68" s="237" t="s">
        <v>95</v>
      </c>
      <c r="K68" s="235"/>
      <c r="L68" s="236"/>
      <c r="M68" s="30">
        <v>0</v>
      </c>
      <c r="N68" s="53"/>
      <c r="O68" s="53"/>
      <c r="P68" s="53"/>
      <c r="Q68" s="33"/>
    </row>
    <row r="69" spans="1:17" ht="12.75">
      <c r="A69" s="206" t="s">
        <v>96</v>
      </c>
      <c r="B69" s="207"/>
      <c r="C69" s="54">
        <f>I78</f>
        <v>0</v>
      </c>
      <c r="D69" s="53"/>
      <c r="E69" s="51"/>
      <c r="F69" s="232" t="s">
        <v>97</v>
      </c>
      <c r="G69" s="233"/>
      <c r="H69" s="30">
        <v>0</v>
      </c>
      <c r="I69" s="35">
        <f>MIN(H69,15000)</f>
        <v>0</v>
      </c>
      <c r="J69" s="237" t="s">
        <v>98</v>
      </c>
      <c r="K69" s="235"/>
      <c r="L69" s="236"/>
      <c r="M69" s="30">
        <v>0</v>
      </c>
      <c r="N69" s="53"/>
      <c r="O69" s="53"/>
      <c r="P69" s="53"/>
      <c r="Q69" s="33"/>
    </row>
    <row r="70" spans="1:17" ht="12.75">
      <c r="A70" s="206" t="s">
        <v>99</v>
      </c>
      <c r="B70" s="207"/>
      <c r="C70" s="54">
        <f>I77</f>
        <v>0</v>
      </c>
      <c r="D70" s="53"/>
      <c r="E70" s="51"/>
      <c r="F70" s="232" t="s">
        <v>100</v>
      </c>
      <c r="G70" s="233"/>
      <c r="H70" s="30">
        <v>0</v>
      </c>
      <c r="I70" s="35">
        <f>MIN(H70,50000)</f>
        <v>0</v>
      </c>
      <c r="J70" s="237" t="s">
        <v>101</v>
      </c>
      <c r="K70" s="235"/>
      <c r="L70" s="236"/>
      <c r="M70" s="30">
        <v>0</v>
      </c>
      <c r="N70" s="53"/>
      <c r="O70" s="53"/>
      <c r="P70" s="53"/>
      <c r="Q70" s="33"/>
    </row>
    <row r="71" spans="1:17" ht="12.75">
      <c r="A71" s="206" t="s">
        <v>102</v>
      </c>
      <c r="B71" s="207"/>
      <c r="C71" s="54">
        <f>I75</f>
        <v>0</v>
      </c>
      <c r="D71" s="53"/>
      <c r="E71" s="51"/>
      <c r="F71" s="232"/>
      <c r="G71" s="233"/>
      <c r="H71" s="30">
        <v>0</v>
      </c>
      <c r="I71" s="35">
        <f>H71</f>
        <v>0</v>
      </c>
      <c r="J71" s="237" t="s">
        <v>103</v>
      </c>
      <c r="K71" s="235"/>
      <c r="L71" s="236"/>
      <c r="M71" s="30">
        <v>0</v>
      </c>
      <c r="N71" s="53"/>
      <c r="O71" s="53"/>
      <c r="P71" s="53"/>
      <c r="Q71" s="33"/>
    </row>
    <row r="72" spans="1:17" ht="12.75">
      <c r="A72" s="239" t="s">
        <v>104</v>
      </c>
      <c r="B72" s="240"/>
      <c r="C72" s="61">
        <f>MROUND(IF(O9=1,IF((C64-C67--C68-C69-C70-C71)&lt;=160000,0,(C64-C67-C68-C69-C70-C71)),IF(O9=2,IF((C64-C67-C68-C69-C70-C71)&lt;=190000,0,(C64-C67-C68-C69-C70-C71)))),10)</f>
        <v>0</v>
      </c>
      <c r="D72" s="53"/>
      <c r="E72" s="51"/>
      <c r="F72" s="232"/>
      <c r="G72" s="233"/>
      <c r="H72" s="30">
        <v>0</v>
      </c>
      <c r="I72" s="35">
        <f>H72</f>
        <v>0</v>
      </c>
      <c r="J72" s="237" t="s">
        <v>105</v>
      </c>
      <c r="K72" s="235"/>
      <c r="L72" s="236"/>
      <c r="M72" s="30">
        <v>0</v>
      </c>
      <c r="N72" s="53"/>
      <c r="O72" s="53"/>
      <c r="P72" s="53"/>
      <c r="Q72" s="33"/>
    </row>
    <row r="73" spans="1:17" ht="12.75">
      <c r="A73" s="241" t="str">
        <f>IF(O9=1,"  Income Tax for MALE ","Income Tax For FEMALE ")</f>
        <v>  Income Tax for MALE </v>
      </c>
      <c r="B73" s="242"/>
      <c r="C73" s="243"/>
      <c r="D73" s="53"/>
      <c r="E73" s="62"/>
      <c r="F73" s="232"/>
      <c r="G73" s="233"/>
      <c r="H73" s="30">
        <v>0</v>
      </c>
      <c r="I73" s="35">
        <f>H73</f>
        <v>0</v>
      </c>
      <c r="J73" s="237" t="s">
        <v>106</v>
      </c>
      <c r="K73" s="238"/>
      <c r="L73" s="207"/>
      <c r="M73" s="63">
        <f>MIN(SUM(M62:M72),100000)</f>
        <v>0</v>
      </c>
      <c r="N73" s="53"/>
      <c r="O73" s="53"/>
      <c r="P73" s="53"/>
      <c r="Q73" s="33"/>
    </row>
    <row r="74" spans="1:17" ht="12.75">
      <c r="A74" s="206" t="str">
        <f>IF(O9=1,"UP TO Rs160000 ","Up to Rs190000")</f>
        <v>UP TO Rs160000 </v>
      </c>
      <c r="B74" s="207"/>
      <c r="C74" s="64">
        <v>0</v>
      </c>
      <c r="D74" s="53"/>
      <c r="E74" s="51"/>
      <c r="F74" s="244"/>
      <c r="G74" s="244"/>
      <c r="H74" s="30">
        <v>0</v>
      </c>
      <c r="I74" s="35">
        <f>H74</f>
        <v>0</v>
      </c>
      <c r="J74" s="237" t="s">
        <v>107</v>
      </c>
      <c r="K74" s="235"/>
      <c r="L74" s="236"/>
      <c r="M74" s="65">
        <v>0</v>
      </c>
      <c r="N74" s="53"/>
      <c r="O74" s="53"/>
      <c r="P74" s="53"/>
      <c r="Q74" s="33"/>
    </row>
    <row r="75" spans="1:17" ht="12.75">
      <c r="A75" s="206" t="str">
        <f>IF(O9=1,"Rs160001-Rs 500000","Rs190001-Rs 500000")</f>
        <v>Rs160001-Rs 500000</v>
      </c>
      <c r="B75" s="207"/>
      <c r="C75" s="64">
        <f>IF(O9=1,IF(C72&lt;=160000,0,IF(AND(C72&gt;160000,C72&lt;=500000),ROUND(((C72-160000)*10%),0),34000)),IF(O9=2,IF(C72&lt;=190000,0,IF(AND(C72&gt;190000,C72&lt;=500000),ROUND(((C72-190000)*10%),0),31000))))</f>
        <v>0</v>
      </c>
      <c r="D75" s="53"/>
      <c r="E75" s="62"/>
      <c r="F75" s="245" t="s">
        <v>32</v>
      </c>
      <c r="G75" s="246"/>
      <c r="H75" s="66">
        <f>SUM(H62:H74)</f>
        <v>0</v>
      </c>
      <c r="I75" s="66">
        <f>SUM(I62:I74)</f>
        <v>0</v>
      </c>
      <c r="J75" s="247" t="s">
        <v>108</v>
      </c>
      <c r="K75" s="248"/>
      <c r="L75" s="249"/>
      <c r="M75" s="67">
        <f>M73+MIN(M74,20000)</f>
        <v>0</v>
      </c>
      <c r="N75" s="60"/>
      <c r="O75" s="53"/>
      <c r="P75" s="53"/>
      <c r="Q75" s="33"/>
    </row>
    <row r="76" spans="1:17" ht="12.75">
      <c r="A76" s="206" t="s">
        <v>109</v>
      </c>
      <c r="B76" s="207"/>
      <c r="C76" s="64">
        <f>IF(C72&lt;=500000,0,IF(AND(C72&gt;500000,C72&lt;=800000),ROUND(((C72-500000)*20%),0),(60000)))</f>
        <v>0</v>
      </c>
      <c r="D76" s="53"/>
      <c r="E76" s="62"/>
      <c r="F76" s="250" t="s">
        <v>110</v>
      </c>
      <c r="G76" s="251"/>
      <c r="H76" s="251"/>
      <c r="I76" s="252"/>
      <c r="J76" s="250" t="s">
        <v>111</v>
      </c>
      <c r="K76" s="251"/>
      <c r="L76" s="251"/>
      <c r="M76" s="252"/>
      <c r="N76" s="53"/>
      <c r="O76" s="53"/>
      <c r="P76" s="53"/>
      <c r="Q76" s="33"/>
    </row>
    <row r="77" spans="1:17" ht="12.75">
      <c r="A77" s="206" t="s">
        <v>112</v>
      </c>
      <c r="B77" s="207"/>
      <c r="C77" s="64">
        <f>IF(C72&gt;800000,ROUND(((C72-800000)*30%),0),(0))</f>
        <v>0</v>
      </c>
      <c r="D77" s="53"/>
      <c r="E77" s="62"/>
      <c r="F77" s="238" t="s">
        <v>113</v>
      </c>
      <c r="G77" s="207"/>
      <c r="H77" s="30">
        <v>0</v>
      </c>
      <c r="I77" s="35">
        <f>MIN(H77,150000)</f>
        <v>0</v>
      </c>
      <c r="J77" s="237" t="s">
        <v>114</v>
      </c>
      <c r="K77" s="238"/>
      <c r="L77" s="207"/>
      <c r="M77" s="30">
        <v>0</v>
      </c>
      <c r="N77" s="53"/>
      <c r="O77" s="53"/>
      <c r="P77" s="53"/>
      <c r="Q77" s="33"/>
    </row>
    <row r="78" spans="1:17" ht="12.75">
      <c r="A78" s="206" t="s">
        <v>115</v>
      </c>
      <c r="B78" s="207"/>
      <c r="C78" s="64">
        <f>SUM(C75:C77)</f>
        <v>0</v>
      </c>
      <c r="D78" s="53"/>
      <c r="E78" s="62"/>
      <c r="F78" s="238" t="s">
        <v>116</v>
      </c>
      <c r="G78" s="207"/>
      <c r="H78" s="30">
        <v>0</v>
      </c>
      <c r="I78" s="35">
        <f>MIN(H78,150000)</f>
        <v>0</v>
      </c>
      <c r="J78" s="237" t="s">
        <v>117</v>
      </c>
      <c r="K78" s="235"/>
      <c r="L78" s="236"/>
      <c r="M78" s="30">
        <v>0</v>
      </c>
      <c r="N78" s="53"/>
      <c r="O78" s="53"/>
      <c r="P78" s="53"/>
      <c r="Q78" s="33"/>
    </row>
    <row r="79" spans="1:17" ht="12.75">
      <c r="A79" s="206" t="s">
        <v>118</v>
      </c>
      <c r="B79" s="207"/>
      <c r="C79" s="64">
        <f>ROUND((C78*3%),0)</f>
        <v>0</v>
      </c>
      <c r="D79" s="53"/>
      <c r="E79" s="62"/>
      <c r="F79" s="238"/>
      <c r="G79" s="207"/>
      <c r="H79" s="35"/>
      <c r="I79" s="68"/>
      <c r="J79" s="237" t="s">
        <v>50</v>
      </c>
      <c r="K79" s="235"/>
      <c r="L79" s="236"/>
      <c r="M79" s="54">
        <f>IF(O34&lt;=15000,0,(O34-15000))</f>
        <v>0</v>
      </c>
      <c r="N79" s="53"/>
      <c r="O79" s="53"/>
      <c r="P79" s="53"/>
      <c r="Q79" s="33"/>
    </row>
    <row r="80" spans="1:17" ht="12.75">
      <c r="A80" s="200" t="s">
        <v>119</v>
      </c>
      <c r="B80" s="253"/>
      <c r="C80" s="64">
        <f>MROUND(SUM(C78:C79),10)</f>
        <v>0</v>
      </c>
      <c r="D80" s="53"/>
      <c r="E80" s="62"/>
      <c r="F80" s="254"/>
      <c r="G80" s="255"/>
      <c r="H80" s="69"/>
      <c r="I80" s="58"/>
      <c r="J80" s="256"/>
      <c r="K80" s="235"/>
      <c r="L80" s="236"/>
      <c r="M80" s="30">
        <v>0</v>
      </c>
      <c r="N80" s="53"/>
      <c r="O80" s="53"/>
      <c r="P80" s="53"/>
      <c r="Q80" s="33"/>
    </row>
    <row r="81" spans="1:17" ht="12.75">
      <c r="A81" s="206" t="s">
        <v>120</v>
      </c>
      <c r="B81" s="207"/>
      <c r="C81" s="64">
        <f>(O45+H82)</f>
        <v>0</v>
      </c>
      <c r="D81" s="70"/>
      <c r="E81" s="62"/>
      <c r="F81" s="71" t="s">
        <v>121</v>
      </c>
      <c r="G81" s="72"/>
      <c r="H81" s="73"/>
      <c r="I81" s="74"/>
      <c r="J81" s="256"/>
      <c r="K81" s="235"/>
      <c r="L81" s="236"/>
      <c r="M81" s="30">
        <v>0</v>
      </c>
      <c r="N81" s="53"/>
      <c r="O81" s="53"/>
      <c r="P81" s="53"/>
      <c r="Q81" s="33"/>
    </row>
    <row r="82" spans="1:17" ht="15">
      <c r="A82" s="269" t="s">
        <v>122</v>
      </c>
      <c r="B82" s="270"/>
      <c r="C82" s="75">
        <f>IF((C80-C81)&gt;0,(C80-C81),0)</f>
        <v>0</v>
      </c>
      <c r="D82" s="76"/>
      <c r="E82" s="77"/>
      <c r="F82" s="237" t="s">
        <v>74</v>
      </c>
      <c r="G82" s="207"/>
      <c r="H82" s="30">
        <v>0</v>
      </c>
      <c r="I82" s="74"/>
      <c r="J82" s="247" t="s">
        <v>123</v>
      </c>
      <c r="K82" s="248"/>
      <c r="L82" s="249"/>
      <c r="M82" s="66">
        <f>SUM(M77+M78+M80+M81)+IF(M79&lt;=15000,0,(M79-15000))</f>
        <v>0</v>
      </c>
      <c r="N82" s="78"/>
      <c r="O82" s="78"/>
      <c r="P82" s="78"/>
      <c r="Q82" s="79"/>
    </row>
    <row r="83" spans="1:17" ht="13.5">
      <c r="A83" s="80" t="s">
        <v>124</v>
      </c>
      <c r="B83" s="81" t="s">
        <v>125</v>
      </c>
      <c r="C83" s="81" t="s">
        <v>20</v>
      </c>
      <c r="D83" s="81" t="s">
        <v>21</v>
      </c>
      <c r="E83" s="81" t="s">
        <v>22</v>
      </c>
      <c r="F83" s="81" t="s">
        <v>23</v>
      </c>
      <c r="G83" s="81" t="s">
        <v>24</v>
      </c>
      <c r="H83" s="81" t="s">
        <v>25</v>
      </c>
      <c r="I83" s="81" t="s">
        <v>26</v>
      </c>
      <c r="J83" s="81" t="s">
        <v>126</v>
      </c>
      <c r="K83" s="81" t="s">
        <v>28</v>
      </c>
      <c r="L83" s="81" t="s">
        <v>29</v>
      </c>
      <c r="M83" s="81" t="s">
        <v>30</v>
      </c>
      <c r="N83" s="81" t="s">
        <v>31</v>
      </c>
      <c r="O83" s="81" t="s">
        <v>127</v>
      </c>
      <c r="P83" s="82" t="s">
        <v>128</v>
      </c>
      <c r="Q83" s="83" t="s">
        <v>129</v>
      </c>
    </row>
    <row r="84" spans="1:17" ht="12.75">
      <c r="A84" s="84" t="s">
        <v>130</v>
      </c>
      <c r="B84" s="85">
        <v>0</v>
      </c>
      <c r="C84" s="64">
        <f aca="true" t="shared" si="15" ref="C84:N84">(C42+C43)</f>
        <v>0</v>
      </c>
      <c r="D84" s="64">
        <f t="shared" si="15"/>
        <v>0</v>
      </c>
      <c r="E84" s="64">
        <f t="shared" si="15"/>
        <v>0</v>
      </c>
      <c r="F84" s="64">
        <f t="shared" si="15"/>
        <v>0</v>
      </c>
      <c r="G84" s="64">
        <f t="shared" si="15"/>
        <v>0</v>
      </c>
      <c r="H84" s="64">
        <f t="shared" si="15"/>
        <v>0</v>
      </c>
      <c r="I84" s="64">
        <f t="shared" si="15"/>
        <v>0</v>
      </c>
      <c r="J84" s="64">
        <f t="shared" si="15"/>
        <v>0</v>
      </c>
      <c r="K84" s="64">
        <f t="shared" si="15"/>
        <v>0</v>
      </c>
      <c r="L84" s="64">
        <f t="shared" si="15"/>
        <v>0</v>
      </c>
      <c r="M84" s="64">
        <f t="shared" si="15"/>
        <v>0</v>
      </c>
      <c r="N84" s="64">
        <f t="shared" si="15"/>
        <v>0</v>
      </c>
      <c r="O84" s="86"/>
      <c r="P84" s="86"/>
      <c r="Q84" s="87"/>
    </row>
    <row r="85" spans="1:17" ht="12.75">
      <c r="A85" s="257" t="s">
        <v>131</v>
      </c>
      <c r="B85" s="258"/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8"/>
      <c r="P85" s="88"/>
      <c r="Q85" s="89"/>
    </row>
    <row r="86" spans="1:17" ht="12.75">
      <c r="A86" s="257" t="s">
        <v>132</v>
      </c>
      <c r="B86" s="258"/>
      <c r="C86" s="64">
        <f>(B84+C84-C85)</f>
        <v>0</v>
      </c>
      <c r="D86" s="64">
        <f aca="true" t="shared" si="16" ref="D86:N86">(C86+D84-D85)</f>
        <v>0</v>
      </c>
      <c r="E86" s="64">
        <f t="shared" si="16"/>
        <v>0</v>
      </c>
      <c r="F86" s="64">
        <f t="shared" si="16"/>
        <v>0</v>
      </c>
      <c r="G86" s="64">
        <f t="shared" si="16"/>
        <v>0</v>
      </c>
      <c r="H86" s="64">
        <f t="shared" si="16"/>
        <v>0</v>
      </c>
      <c r="I86" s="64">
        <f t="shared" si="16"/>
        <v>0</v>
      </c>
      <c r="J86" s="64">
        <f t="shared" si="16"/>
        <v>0</v>
      </c>
      <c r="K86" s="64">
        <f t="shared" si="16"/>
        <v>0</v>
      </c>
      <c r="L86" s="64">
        <f t="shared" si="16"/>
        <v>0</v>
      </c>
      <c r="M86" s="64">
        <f t="shared" si="16"/>
        <v>0</v>
      </c>
      <c r="N86" s="64">
        <f t="shared" si="16"/>
        <v>0</v>
      </c>
      <c r="O86" s="64">
        <f>SUM(C84:N84)</f>
        <v>0</v>
      </c>
      <c r="P86" s="90">
        <f>SUM(C86:N86)/12*8%</f>
        <v>0</v>
      </c>
      <c r="Q86" s="67">
        <f>(B84+O86+P86)</f>
        <v>0</v>
      </c>
    </row>
    <row r="87" spans="1:17" ht="12.75">
      <c r="A87" s="262" t="s">
        <v>133</v>
      </c>
      <c r="B87" s="263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3"/>
    </row>
    <row r="88" spans="1:17" ht="12.75">
      <c r="A88" s="94"/>
      <c r="B88" s="81" t="s">
        <v>134</v>
      </c>
      <c r="C88" s="81" t="s">
        <v>21</v>
      </c>
      <c r="D88" s="81" t="s">
        <v>22</v>
      </c>
      <c r="E88" s="81" t="s">
        <v>23</v>
      </c>
      <c r="F88" s="81" t="s">
        <v>24</v>
      </c>
      <c r="G88" s="81" t="s">
        <v>25</v>
      </c>
      <c r="H88" s="81" t="s">
        <v>26</v>
      </c>
      <c r="I88" s="81" t="s">
        <v>27</v>
      </c>
      <c r="J88" s="81" t="s">
        <v>28</v>
      </c>
      <c r="K88" s="81" t="s">
        <v>29</v>
      </c>
      <c r="L88" s="81" t="s">
        <v>30</v>
      </c>
      <c r="M88" s="81" t="s">
        <v>31</v>
      </c>
      <c r="N88" s="81" t="s">
        <v>135</v>
      </c>
      <c r="O88" s="81" t="s">
        <v>127</v>
      </c>
      <c r="P88" s="95" t="s">
        <v>128</v>
      </c>
      <c r="Q88" s="83" t="s">
        <v>136</v>
      </c>
    </row>
    <row r="89" spans="1:17" ht="12.75">
      <c r="A89" s="84" t="s">
        <v>130</v>
      </c>
      <c r="B89" s="96">
        <v>0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7"/>
      <c r="P89" s="98"/>
      <c r="Q89" s="99"/>
    </row>
    <row r="90" spans="1:17" ht="12.75">
      <c r="A90" s="257" t="s">
        <v>137</v>
      </c>
      <c r="B90" s="258"/>
      <c r="C90" s="96">
        <v>0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88"/>
      <c r="P90" s="88"/>
      <c r="Q90" s="100"/>
    </row>
    <row r="91" spans="1:17" ht="12.75">
      <c r="A91" s="257" t="s">
        <v>138</v>
      </c>
      <c r="B91" s="258"/>
      <c r="C91" s="64">
        <f>(B89+C89-C90)</f>
        <v>0</v>
      </c>
      <c r="D91" s="64">
        <f>(C91+D89-D90)</f>
        <v>0</v>
      </c>
      <c r="E91" s="64">
        <f aca="true" t="shared" si="17" ref="E91:N91">(D91+E89-E90)</f>
        <v>0</v>
      </c>
      <c r="F91" s="64">
        <f t="shared" si="17"/>
        <v>0</v>
      </c>
      <c r="G91" s="64">
        <f t="shared" si="17"/>
        <v>0</v>
      </c>
      <c r="H91" s="64">
        <f t="shared" si="17"/>
        <v>0</v>
      </c>
      <c r="I91" s="64">
        <f t="shared" si="17"/>
        <v>0</v>
      </c>
      <c r="J91" s="64">
        <f t="shared" si="17"/>
        <v>0</v>
      </c>
      <c r="K91" s="64">
        <f t="shared" si="17"/>
        <v>0</v>
      </c>
      <c r="L91" s="64">
        <f t="shared" si="17"/>
        <v>0</v>
      </c>
      <c r="M91" s="64">
        <f t="shared" si="17"/>
        <v>0</v>
      </c>
      <c r="N91" s="64">
        <f t="shared" si="17"/>
        <v>0</v>
      </c>
      <c r="O91" s="64">
        <f>SUM(C89:N89)</f>
        <v>0</v>
      </c>
      <c r="P91" s="43">
        <f>SUM(C91:N91)/12*8%</f>
        <v>0</v>
      </c>
      <c r="Q91" s="67">
        <f>(B89+O91+P91)</f>
        <v>0</v>
      </c>
    </row>
    <row r="92" spans="1:17" ht="12.75">
      <c r="A92" s="101"/>
      <c r="B92" s="102"/>
      <c r="C92" s="103"/>
      <c r="D92" s="103"/>
      <c r="E92" s="103"/>
      <c r="F92" s="103"/>
      <c r="G92" s="103"/>
      <c r="H92" s="104"/>
      <c r="I92" s="103"/>
      <c r="J92" s="103"/>
      <c r="K92" s="103"/>
      <c r="L92" s="103"/>
      <c r="M92" s="103"/>
      <c r="N92" s="103"/>
      <c r="O92" s="103"/>
      <c r="P92" s="105"/>
      <c r="Q92" s="106"/>
    </row>
    <row r="93" spans="1:17" ht="15">
      <c r="A93" s="29"/>
      <c r="B93" s="8"/>
      <c r="C93" s="8"/>
      <c r="D93" s="8"/>
      <c r="E93" s="8"/>
      <c r="F93" s="8"/>
      <c r="G93" s="8"/>
      <c r="H93" s="8"/>
      <c r="I93" s="259" t="s">
        <v>139</v>
      </c>
      <c r="J93" s="259"/>
      <c r="K93" s="259"/>
      <c r="L93" s="259"/>
      <c r="M93" s="259"/>
      <c r="N93" s="259"/>
      <c r="O93" s="259"/>
      <c r="P93" s="259"/>
      <c r="Q93" s="260"/>
    </row>
    <row r="94" spans="1:17" ht="13.5" thickBo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9" t="s">
        <v>140</v>
      </c>
      <c r="L94" s="109"/>
      <c r="M94" s="261" t="s">
        <v>141</v>
      </c>
      <c r="N94" s="261"/>
      <c r="O94" s="261"/>
      <c r="P94" s="108"/>
      <c r="Q94" s="110"/>
    </row>
  </sheetData>
  <sheetProtection/>
  <protectedRanges>
    <protectedRange password="CC61" sqref="C61:C66 C68:C72 D62" name="Range1"/>
  </protectedRanges>
  <mergeCells count="133">
    <mergeCell ref="A91:B91"/>
    <mergeCell ref="I93:Q93"/>
    <mergeCell ref="M94:O94"/>
    <mergeCell ref="A85:B85"/>
    <mergeCell ref="A86:B86"/>
    <mergeCell ref="A87:B87"/>
    <mergeCell ref="A90:B90"/>
    <mergeCell ref="A81:B81"/>
    <mergeCell ref="J81:L81"/>
    <mergeCell ref="A82:B82"/>
    <mergeCell ref="F82:G82"/>
    <mergeCell ref="J82:L82"/>
    <mergeCell ref="A79:B79"/>
    <mergeCell ref="F79:G79"/>
    <mergeCell ref="J79:L79"/>
    <mergeCell ref="A80:B80"/>
    <mergeCell ref="F80:G80"/>
    <mergeCell ref="J80:L80"/>
    <mergeCell ref="A77:B77"/>
    <mergeCell ref="F77:G77"/>
    <mergeCell ref="J77:L77"/>
    <mergeCell ref="A78:B78"/>
    <mergeCell ref="F78:G78"/>
    <mergeCell ref="J78:L78"/>
    <mergeCell ref="A75:B75"/>
    <mergeCell ref="F75:G75"/>
    <mergeCell ref="J75:L75"/>
    <mergeCell ref="A76:B76"/>
    <mergeCell ref="F76:I76"/>
    <mergeCell ref="J76:M76"/>
    <mergeCell ref="A73:C73"/>
    <mergeCell ref="F73:G73"/>
    <mergeCell ref="J73:L73"/>
    <mergeCell ref="A74:B74"/>
    <mergeCell ref="F74:G74"/>
    <mergeCell ref="J74:L74"/>
    <mergeCell ref="A71:B71"/>
    <mergeCell ref="F71:G71"/>
    <mergeCell ref="J71:L71"/>
    <mergeCell ref="A72:B72"/>
    <mergeCell ref="F72:G72"/>
    <mergeCell ref="J72:L72"/>
    <mergeCell ref="A69:B69"/>
    <mergeCell ref="F69:G69"/>
    <mergeCell ref="J69:L69"/>
    <mergeCell ref="A70:B70"/>
    <mergeCell ref="F70:G70"/>
    <mergeCell ref="J70:L70"/>
    <mergeCell ref="A67:B67"/>
    <mergeCell ref="F67:G67"/>
    <mergeCell ref="J67:L67"/>
    <mergeCell ref="A68:B68"/>
    <mergeCell ref="F68:G68"/>
    <mergeCell ref="J68:L68"/>
    <mergeCell ref="A65:B65"/>
    <mergeCell ref="F65:G65"/>
    <mergeCell ref="J65:L65"/>
    <mergeCell ref="A66:B66"/>
    <mergeCell ref="F66:G66"/>
    <mergeCell ref="J66:L66"/>
    <mergeCell ref="A63:B63"/>
    <mergeCell ref="F63:G63"/>
    <mergeCell ref="J63:L63"/>
    <mergeCell ref="A64:B64"/>
    <mergeCell ref="F64:G64"/>
    <mergeCell ref="J64:L64"/>
    <mergeCell ref="A61:B61"/>
    <mergeCell ref="F61:G61"/>
    <mergeCell ref="J61:L61"/>
    <mergeCell ref="A62:B62"/>
    <mergeCell ref="F62:G62"/>
    <mergeCell ref="J62:L62"/>
    <mergeCell ref="A58:B58"/>
    <mergeCell ref="A59:B59"/>
    <mergeCell ref="A60:C60"/>
    <mergeCell ref="F60:M60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1:E11"/>
    <mergeCell ref="F11:N11"/>
    <mergeCell ref="A12:B12"/>
    <mergeCell ref="A13:B13"/>
    <mergeCell ref="A7:N7"/>
    <mergeCell ref="A8:N8"/>
    <mergeCell ref="A9:N9"/>
    <mergeCell ref="A10:E10"/>
    <mergeCell ref="F10:N10"/>
    <mergeCell ref="A1:Q1"/>
    <mergeCell ref="A2:H2"/>
    <mergeCell ref="A3:H3"/>
    <mergeCell ref="F5:G5"/>
  </mergeCells>
  <conditionalFormatting sqref="C8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A7" sqref="A7:E7"/>
    </sheetView>
  </sheetViews>
  <sheetFormatPr defaultColWidth="9.140625" defaultRowHeight="12.75"/>
  <sheetData>
    <row r="1" spans="1:17" ht="20.25">
      <c r="A1" s="271" t="s">
        <v>142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/>
    </row>
    <row r="2" spans="1:17" ht="18.75">
      <c r="A2" s="274" t="s">
        <v>7</v>
      </c>
      <c r="B2" s="275"/>
      <c r="C2" s="275"/>
      <c r="D2" s="275"/>
      <c r="E2" s="275"/>
      <c r="F2" s="276" t="str">
        <f>IF(O6=1," MALE","FEMALE")</f>
        <v> MALE</v>
      </c>
      <c r="G2" s="277"/>
      <c r="H2" s="278" t="s">
        <v>143</v>
      </c>
      <c r="I2" s="279"/>
      <c r="J2" s="111"/>
      <c r="K2" s="280" t="s">
        <v>144</v>
      </c>
      <c r="L2" s="281"/>
      <c r="M2" s="281"/>
      <c r="N2" s="281"/>
      <c r="O2" s="281"/>
      <c r="P2" s="281"/>
      <c r="Q2" s="282"/>
    </row>
    <row r="3" spans="1:17" ht="15.75">
      <c r="A3" s="274" t="s">
        <v>145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284"/>
      <c r="O3" s="284"/>
      <c r="P3" s="285"/>
      <c r="Q3" s="286"/>
    </row>
    <row r="4" spans="1:17" ht="15.75">
      <c r="A4" s="287" t="s">
        <v>146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112">
        <v>2</v>
      </c>
      <c r="P4" s="8"/>
      <c r="Q4" s="13"/>
    </row>
    <row r="5" spans="1:17" ht="15.75">
      <c r="A5" s="274" t="s">
        <v>147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89"/>
      <c r="O5" s="112">
        <v>2</v>
      </c>
      <c r="P5" s="113"/>
      <c r="Q5" s="13"/>
    </row>
    <row r="6" spans="1:17" ht="15.75">
      <c r="A6" s="274" t="s">
        <v>148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89"/>
      <c r="O6" s="112">
        <v>1</v>
      </c>
      <c r="P6" s="113"/>
      <c r="Q6" s="13"/>
    </row>
    <row r="7" spans="1:17" ht="15.75">
      <c r="A7" s="290" t="s">
        <v>149</v>
      </c>
      <c r="B7" s="283"/>
      <c r="C7" s="283"/>
      <c r="D7" s="283"/>
      <c r="E7" s="283"/>
      <c r="F7" s="291" t="s">
        <v>150</v>
      </c>
      <c r="G7" s="292"/>
      <c r="H7" s="292"/>
      <c r="I7" s="292"/>
      <c r="J7" s="292"/>
      <c r="K7" s="292"/>
      <c r="L7" s="292"/>
      <c r="M7" s="292"/>
      <c r="N7" s="293"/>
      <c r="O7" s="112">
        <v>2</v>
      </c>
      <c r="P7" s="113"/>
      <c r="Q7" s="13"/>
    </row>
    <row r="8" spans="1:17" ht="15.75">
      <c r="A8" s="290" t="s">
        <v>151</v>
      </c>
      <c r="B8" s="283"/>
      <c r="C8" s="283"/>
      <c r="D8" s="283"/>
      <c r="E8" s="283"/>
      <c r="F8" s="291" t="s">
        <v>152</v>
      </c>
      <c r="G8" s="292"/>
      <c r="H8" s="292"/>
      <c r="I8" s="292"/>
      <c r="J8" s="292"/>
      <c r="K8" s="292"/>
      <c r="L8" s="292"/>
      <c r="M8" s="292"/>
      <c r="N8" s="293"/>
      <c r="O8" s="112">
        <v>1</v>
      </c>
      <c r="P8" s="113"/>
      <c r="Q8" s="13"/>
    </row>
    <row r="9" spans="1:17" ht="18">
      <c r="A9" s="294" t="s">
        <v>153</v>
      </c>
      <c r="B9" s="295"/>
      <c r="C9" s="114" t="s">
        <v>154</v>
      </c>
      <c r="D9" s="114" t="s">
        <v>155</v>
      </c>
      <c r="E9" s="114" t="s">
        <v>156</v>
      </c>
      <c r="F9" s="114" t="s">
        <v>157</v>
      </c>
      <c r="G9" s="114" t="s">
        <v>158</v>
      </c>
      <c r="H9" s="114" t="s">
        <v>159</v>
      </c>
      <c r="I9" s="114" t="s">
        <v>160</v>
      </c>
      <c r="J9" s="114" t="s">
        <v>126</v>
      </c>
      <c r="K9" s="114" t="s">
        <v>161</v>
      </c>
      <c r="L9" s="114" t="s">
        <v>162</v>
      </c>
      <c r="M9" s="114" t="s">
        <v>163</v>
      </c>
      <c r="N9" s="114" t="s">
        <v>164</v>
      </c>
      <c r="O9" s="115" t="s">
        <v>32</v>
      </c>
      <c r="P9" s="116"/>
      <c r="Q9" s="117"/>
    </row>
    <row r="10" spans="1:17" ht="12.75">
      <c r="A10" s="296" t="s">
        <v>33</v>
      </c>
      <c r="B10" s="297"/>
      <c r="C10" s="118">
        <v>0</v>
      </c>
      <c r="D10" s="119">
        <f aca="true" t="shared" si="0" ref="D10:F12">C10</f>
        <v>0</v>
      </c>
      <c r="E10" s="119">
        <f t="shared" si="0"/>
        <v>0</v>
      </c>
      <c r="F10" s="119">
        <f t="shared" si="0"/>
        <v>0</v>
      </c>
      <c r="G10" s="119">
        <f>CEILING((INT((C10)+(C10+C11)*3%)),10)</f>
        <v>0</v>
      </c>
      <c r="H10" s="119">
        <f>G10</f>
        <v>0</v>
      </c>
      <c r="I10" s="119">
        <f aca="true" t="shared" si="1" ref="H10:N12">H10</f>
        <v>0</v>
      </c>
      <c r="J10" s="119">
        <f t="shared" si="1"/>
        <v>0</v>
      </c>
      <c r="K10" s="119">
        <f t="shared" si="1"/>
        <v>0</v>
      </c>
      <c r="L10" s="119">
        <f t="shared" si="1"/>
        <v>0</v>
      </c>
      <c r="M10" s="119">
        <f t="shared" si="1"/>
        <v>0</v>
      </c>
      <c r="N10" s="119">
        <f t="shared" si="1"/>
        <v>0</v>
      </c>
      <c r="O10" s="120">
        <f>SUM(C10:N10)</f>
        <v>0</v>
      </c>
      <c r="P10" s="8"/>
      <c r="Q10" s="121"/>
    </row>
    <row r="11" spans="1:17" ht="12.75">
      <c r="A11" s="296" t="s">
        <v>34</v>
      </c>
      <c r="B11" s="297"/>
      <c r="C11" s="118">
        <v>0</v>
      </c>
      <c r="D11" s="119">
        <f t="shared" si="0"/>
        <v>0</v>
      </c>
      <c r="E11" s="119">
        <f t="shared" si="0"/>
        <v>0</v>
      </c>
      <c r="F11" s="119">
        <f t="shared" si="0"/>
        <v>0</v>
      </c>
      <c r="G11" s="119">
        <f>F11</f>
        <v>0</v>
      </c>
      <c r="H11" s="119">
        <f t="shared" si="1"/>
        <v>0</v>
      </c>
      <c r="I11" s="119">
        <f t="shared" si="1"/>
        <v>0</v>
      </c>
      <c r="J11" s="119">
        <f t="shared" si="1"/>
        <v>0</v>
      </c>
      <c r="K11" s="119">
        <f t="shared" si="1"/>
        <v>0</v>
      </c>
      <c r="L11" s="119">
        <f t="shared" si="1"/>
        <v>0</v>
      </c>
      <c r="M11" s="119">
        <f t="shared" si="1"/>
        <v>0</v>
      </c>
      <c r="N11" s="119">
        <f t="shared" si="1"/>
        <v>0</v>
      </c>
      <c r="O11" s="120">
        <f>SUM(C11:N11)</f>
        <v>0</v>
      </c>
      <c r="P11" s="8"/>
      <c r="Q11" s="121"/>
    </row>
    <row r="12" spans="1:17" ht="12.75">
      <c r="A12" s="296" t="s">
        <v>35</v>
      </c>
      <c r="B12" s="297"/>
      <c r="C12" s="118">
        <v>0</v>
      </c>
      <c r="D12" s="119">
        <f t="shared" si="0"/>
        <v>0</v>
      </c>
      <c r="E12" s="119">
        <f t="shared" si="0"/>
        <v>0</v>
      </c>
      <c r="F12" s="119">
        <f t="shared" si="0"/>
        <v>0</v>
      </c>
      <c r="G12" s="119">
        <f>F12</f>
        <v>0</v>
      </c>
      <c r="H12" s="119">
        <f t="shared" si="1"/>
        <v>0</v>
      </c>
      <c r="I12" s="119">
        <f t="shared" si="1"/>
        <v>0</v>
      </c>
      <c r="J12" s="119">
        <f t="shared" si="1"/>
        <v>0</v>
      </c>
      <c r="K12" s="119">
        <f t="shared" si="1"/>
        <v>0</v>
      </c>
      <c r="L12" s="119">
        <f t="shared" si="1"/>
        <v>0</v>
      </c>
      <c r="M12" s="119">
        <f t="shared" si="1"/>
        <v>0</v>
      </c>
      <c r="N12" s="119">
        <f t="shared" si="1"/>
        <v>0</v>
      </c>
      <c r="O12" s="120">
        <f>SUM(C12:N12)</f>
        <v>0</v>
      </c>
      <c r="P12" s="8"/>
      <c r="Q12" s="121"/>
    </row>
    <row r="13" spans="1:17" ht="12.75">
      <c r="A13" s="296" t="s">
        <v>36</v>
      </c>
      <c r="B13" s="297"/>
      <c r="C13" s="122">
        <v>0.22</v>
      </c>
      <c r="D13" s="122">
        <v>0.22</v>
      </c>
      <c r="E13" s="123">
        <f>D13</f>
        <v>0.22</v>
      </c>
      <c r="F13" s="123">
        <f>E13</f>
        <v>0.22</v>
      </c>
      <c r="G13" s="122">
        <v>0.22</v>
      </c>
      <c r="H13" s="122">
        <v>0.22</v>
      </c>
      <c r="I13" s="122">
        <v>0.22</v>
      </c>
      <c r="J13" s="122">
        <v>0.27</v>
      </c>
      <c r="K13" s="123">
        <f>J13</f>
        <v>0.27</v>
      </c>
      <c r="L13" s="123">
        <f>K13</f>
        <v>0.27</v>
      </c>
      <c r="M13" s="123">
        <f>L13</f>
        <v>0.27</v>
      </c>
      <c r="N13" s="123">
        <f>M13</f>
        <v>0.27</v>
      </c>
      <c r="O13" s="120"/>
      <c r="P13" s="8"/>
      <c r="Q13" s="121"/>
    </row>
    <row r="14" spans="1:17" ht="12.75">
      <c r="A14" s="296" t="s">
        <v>37</v>
      </c>
      <c r="B14" s="297"/>
      <c r="C14" s="124">
        <f>ROUND(((C10+C11+C18)*C13),0)</f>
        <v>0</v>
      </c>
      <c r="D14" s="124">
        <f aca="true" t="shared" si="2" ref="D14:N14">ROUND(((D10+D11+D18)*D13),0)</f>
        <v>0</v>
      </c>
      <c r="E14" s="124">
        <f t="shared" si="2"/>
        <v>0</v>
      </c>
      <c r="F14" s="124">
        <f t="shared" si="2"/>
        <v>0</v>
      </c>
      <c r="G14" s="124">
        <f t="shared" si="2"/>
        <v>0</v>
      </c>
      <c r="H14" s="124">
        <f t="shared" si="2"/>
        <v>0</v>
      </c>
      <c r="I14" s="124">
        <f t="shared" si="2"/>
        <v>0</v>
      </c>
      <c r="J14" s="124">
        <f t="shared" si="2"/>
        <v>0</v>
      </c>
      <c r="K14" s="124">
        <f t="shared" si="2"/>
        <v>0</v>
      </c>
      <c r="L14" s="124">
        <f t="shared" si="2"/>
        <v>0</v>
      </c>
      <c r="M14" s="124">
        <f t="shared" si="2"/>
        <v>0</v>
      </c>
      <c r="N14" s="124">
        <f t="shared" si="2"/>
        <v>0</v>
      </c>
      <c r="O14" s="125">
        <f>SUM(C14:N14)</f>
        <v>0</v>
      </c>
      <c r="P14" s="116"/>
      <c r="Q14" s="126"/>
    </row>
    <row r="15" spans="1:17" ht="12.75">
      <c r="A15" s="296" t="s">
        <v>38</v>
      </c>
      <c r="B15" s="297"/>
      <c r="C15" s="124">
        <f>IF(O5=1,INT(((C10+C11)*30/100)+0.5),IF(O5=2,INT(((C10+C11)*20/100)+0.5),IF(O5=3,INT(((C10+C11)*10/100)+0.5),(0))))</f>
        <v>0</v>
      </c>
      <c r="D15" s="124">
        <f>IF(O5=1,INT(((D10+D11)*30/100)+0.5),IF(O5=2,INT(((D10+D11)*20/100)+0.5),IF(O5=3,INT(((D10+D11)*10/100)+0.5),(0))))</f>
        <v>0</v>
      </c>
      <c r="E15" s="124">
        <f>IF(O5=1,INT(((E10+E11)*30/100)+0.5),IF(O5=2,INT(((E10+E11)*20/100)+0.5),IF(O5=3,INT(((E10+E11)*10/100)+0.5),(0))))</f>
        <v>0</v>
      </c>
      <c r="F15" s="124">
        <f>IF(O5=1,INT(((F10+F11)*30/100)+0.5),IF(O5=2,INT(((F10+F11)*20/100)+0.5),IF(O5=3,INT(((F10+F11)*10/100)+0.5),(0))))</f>
        <v>0</v>
      </c>
      <c r="G15" s="124">
        <f>IF(O5=1,INT(((G10+G11)*30/100)+0.5),IF(O5=2,INT(((G10+G11)*20/100)+0.5),IF(O5=3,INT(((G10+G11)*10/100)+0.5),(0))))</f>
        <v>0</v>
      </c>
      <c r="H15" s="124">
        <f>IF(O5=1,INT(((H10+H11)*30/100)+0.5),IF(O5=2,INT(((H10+H11)*20/100)+0.5),IF(O5=3,INT(((H10+H11)*10/100)+0.5),(0))))</f>
        <v>0</v>
      </c>
      <c r="I15" s="124">
        <f>IF(O5=1,INT(((I10+I11)*30/100)+0.5),IF(O5=2,INT(((I10+I11)*20/100)+0.5),IF(O5=3,INT(((I10+I11)*10/100)+0.5),(0))))</f>
        <v>0</v>
      </c>
      <c r="J15" s="124">
        <f>IF(O5=1,INT(((J10+J11)*30/100)+0.5),IF(O5=2,INT(((J10+J11)*20/100)+0.5),IF(O5=3,INT(((J10+J11)*10/100)+0.5),(0))))</f>
        <v>0</v>
      </c>
      <c r="K15" s="124">
        <f>IF(O5=1,INT(((K10+K11)*30/100)+0.5),IF(O5=2,INT(((K10+K11)*20/100)+0.5),IF(O5=3,INT(((K10+K11)*10/100)+0.5),(0))))</f>
        <v>0</v>
      </c>
      <c r="L15" s="124">
        <f>IF(O5=1,INT(((L10+L11)*30/100)+0.5),IF(O5=2,INT(((L10+L11)*20/100)+0.5),IF(O5=3,INT(((L10+L11)*10/100)+0.5),(0))))</f>
        <v>0</v>
      </c>
      <c r="M15" s="124">
        <f>IF(O5=1,INT(((M10+M11)*30/100)+0.5),IF(O5=2,INT(((M10+M11)*20/100)+0.5),IF(O5=3,INT(((M10+M11)*10/100)+0.5),(0))))</f>
        <v>0</v>
      </c>
      <c r="N15" s="124">
        <f>IF(O5=1,INT(((N10+N11)*30/100)+0.5),IF(O5=2,INT(((N10+N11)*20/100)+0.5),IF(O5=3,INT(((N10+N11)*10/100)+0.5),(0))))</f>
        <v>0</v>
      </c>
      <c r="O15" s="125">
        <f aca="true" t="shared" si="3" ref="O15:O30">SUM(C15:N15)</f>
        <v>0</v>
      </c>
      <c r="P15" s="8"/>
      <c r="Q15" s="13"/>
    </row>
    <row r="16" spans="1:17" ht="12.75">
      <c r="A16" s="296" t="s">
        <v>39</v>
      </c>
      <c r="B16" s="297"/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25">
        <f t="shared" si="3"/>
        <v>0</v>
      </c>
      <c r="P16" s="8"/>
      <c r="Q16" s="121"/>
    </row>
    <row r="17" spans="1:17" ht="12.75">
      <c r="A17" s="296" t="s">
        <v>53</v>
      </c>
      <c r="B17" s="297"/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25">
        <f t="shared" si="3"/>
        <v>0</v>
      </c>
      <c r="P17" s="8"/>
      <c r="Q17" s="121"/>
    </row>
    <row r="18" spans="1:17" ht="12.75">
      <c r="A18" s="296" t="s">
        <v>165</v>
      </c>
      <c r="B18" s="297"/>
      <c r="C18" s="119">
        <f>IF(O8=1,ROUND(((C10+C11)*25%),0),(0))</f>
        <v>0</v>
      </c>
      <c r="D18" s="119">
        <f>IF(O8=1,ROUND(((D10+D11)*25%),0),(0))</f>
        <v>0</v>
      </c>
      <c r="E18" s="119">
        <f>IF(O8=1,ROUND(((E10+E11)*25%),0),(0))</f>
        <v>0</v>
      </c>
      <c r="F18" s="119">
        <f>IF(O8=1,ROUND(((F10+F11)*25%),0),(0))</f>
        <v>0</v>
      </c>
      <c r="G18" s="119">
        <f>IF(O8=1,ROUND(((G10+G11)*25%),0),(0))</f>
        <v>0</v>
      </c>
      <c r="H18" s="119">
        <f>IF(O8=1,ROUND(((H10+H11)*25%),0),(0))</f>
        <v>0</v>
      </c>
      <c r="I18" s="119">
        <f>IF(O8=1,ROUND(((I10+I11)*25%),0),(0))</f>
        <v>0</v>
      </c>
      <c r="J18" s="119">
        <f>IF(O8=1,ROUND(((J10+J11)*25%),0),(0))</f>
        <v>0</v>
      </c>
      <c r="K18" s="119">
        <f>IF(O8=1,ROUND(((K10+K11)*25%),0),(0))</f>
        <v>0</v>
      </c>
      <c r="L18" s="119">
        <f>IF(O8=1,ROUND(((L10+L11)*25%),0),(0))</f>
        <v>0</v>
      </c>
      <c r="M18" s="119">
        <f>IF(O8=1,ROUND(((M10+M11)*25%),0),(0))</f>
        <v>0</v>
      </c>
      <c r="N18" s="119">
        <f>IF(O8=1,ROUND(((N10+N11)*25%),0),(0))</f>
        <v>0</v>
      </c>
      <c r="O18" s="125">
        <f aca="true" t="shared" si="4" ref="O18:O23">SUM(C18:N18)</f>
        <v>0</v>
      </c>
      <c r="P18" s="8"/>
      <c r="Q18" s="121"/>
    </row>
    <row r="19" spans="1:17" ht="12.75">
      <c r="A19" s="296" t="s">
        <v>42</v>
      </c>
      <c r="B19" s="297"/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25">
        <f t="shared" si="4"/>
        <v>0</v>
      </c>
      <c r="P19" s="8"/>
      <c r="Q19" s="121"/>
    </row>
    <row r="20" spans="1:17" ht="12.75">
      <c r="A20" s="296" t="s">
        <v>166</v>
      </c>
      <c r="B20" s="297"/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25">
        <f t="shared" si="4"/>
        <v>0</v>
      </c>
      <c r="P20" s="8"/>
      <c r="Q20" s="121"/>
    </row>
    <row r="21" spans="1:17" ht="12.75">
      <c r="A21" s="298"/>
      <c r="B21" s="299"/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25">
        <f t="shared" si="4"/>
        <v>0</v>
      </c>
      <c r="P21" s="8"/>
      <c r="Q21" s="121"/>
    </row>
    <row r="22" spans="1:17" ht="12.75">
      <c r="A22" s="298"/>
      <c r="B22" s="299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25">
        <f t="shared" si="4"/>
        <v>0</v>
      </c>
      <c r="P22" s="8"/>
      <c r="Q22" s="121"/>
    </row>
    <row r="23" spans="1:17" ht="12.75">
      <c r="A23" s="298"/>
      <c r="B23" s="299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25">
        <f t="shared" si="4"/>
        <v>0</v>
      </c>
      <c r="P23" s="8"/>
      <c r="Q23" s="121"/>
    </row>
    <row r="24" spans="1:17" ht="15.75">
      <c r="A24" s="300" t="s">
        <v>167</v>
      </c>
      <c r="B24" s="301"/>
      <c r="C24" s="127">
        <f>SUM(C10+C11+C12+C14+C15+C16+C17+C18+C19+C20+C21+C22+C23)</f>
        <v>0</v>
      </c>
      <c r="D24" s="127">
        <f aca="true" t="shared" si="5" ref="D24:N24">SUM(D10+D11+D12+D14+D15+D16+D17+D18+D19+D20+D21+D22+D23)</f>
        <v>0</v>
      </c>
      <c r="E24" s="127">
        <f t="shared" si="5"/>
        <v>0</v>
      </c>
      <c r="F24" s="127">
        <f t="shared" si="5"/>
        <v>0</v>
      </c>
      <c r="G24" s="127">
        <f t="shared" si="5"/>
        <v>0</v>
      </c>
      <c r="H24" s="127">
        <f t="shared" si="5"/>
        <v>0</v>
      </c>
      <c r="I24" s="127">
        <f t="shared" si="5"/>
        <v>0</v>
      </c>
      <c r="J24" s="127">
        <f t="shared" si="5"/>
        <v>0</v>
      </c>
      <c r="K24" s="127">
        <f t="shared" si="5"/>
        <v>0</v>
      </c>
      <c r="L24" s="127">
        <f t="shared" si="5"/>
        <v>0</v>
      </c>
      <c r="M24" s="127">
        <f t="shared" si="5"/>
        <v>0</v>
      </c>
      <c r="N24" s="127">
        <f t="shared" si="5"/>
        <v>0</v>
      </c>
      <c r="O24" s="128">
        <f t="shared" si="3"/>
        <v>0</v>
      </c>
      <c r="P24" s="8"/>
      <c r="Q24" s="121"/>
    </row>
    <row r="25" spans="1:17" ht="12.75">
      <c r="A25" s="296" t="s">
        <v>47</v>
      </c>
      <c r="B25" s="297"/>
      <c r="C25" s="124">
        <f>IF(O4=2,IF(C11=0,0,IF(AND(C11&gt;0,C11&lt;4200),(400+400*C13),IF(AND(C11&gt;=4200,C11&lt;=4800),(800+800*C13),(1600+1600*C13)))),IF(O4=1,IF(C11=0,0,IF(AND(C11&gt;0,C11&lt;4200),(600+600*C13),IF(AND(C11&gt;=4200,C11&lt;=4800),(1600+1600*C13),(3200+3200*C13))))))</f>
        <v>0</v>
      </c>
      <c r="D25" s="124">
        <f>IF(O4=2,IF(D11=0,0,IF(AND(D11&gt;0,D11&lt;4200),(400+400*D13),IF(AND(D11&gt;=4200,D11&lt;=4800),(800+800*D13),(1600+1600*D13)))),IF(O4=1,IF(D11=0,0,IF(AND(D11&gt;0,D11&lt;4200),(600+600*D13),IF(AND(D11&gt;=4200,D11&lt;=4800),(1600+1600*D13),(3200+3200*D13))))))</f>
        <v>0</v>
      </c>
      <c r="E25" s="124">
        <f>IF(O4=2,IF(E11=0,0,IF(AND(E11&gt;0,E11&lt;4200),(400+400*E13),IF(AND(E11&gt;=4200,E11&lt;=4800),(800+800*E13),(1600+1600*E13)))),IF(O4=1,IF(E11=0,0,IF(AND(E11&gt;0,E11&lt;4200),(600+600*E13),IF(AND(E11&gt;=4200,E11&lt;=4800),(1600+1600*E13),(3200+3200*E13))))))</f>
        <v>0</v>
      </c>
      <c r="F25" s="124">
        <f>IF(O4=2,IF(F11=0,0,IF(AND(F11&gt;0,F11&lt;4200),(400+400*F13),IF(AND(F11&gt;=4200,F11&lt;=4800),(800+800*F13),(1600+1600*F13)))),IF(O4=1,IF(F11=0,0,IF(AND(F11&gt;0,F11&lt;4200),(600+600*F13),IF(AND(F11&gt;=4200,F11&lt;=4800),(1600+1600*F13),(3200+3200*F13))))))</f>
        <v>0</v>
      </c>
      <c r="G25" s="124">
        <f>IF(O4=2,IF(G11=0,0,IF(AND(G11&gt;0,G11&lt;4200),(400+400*G13),IF(AND(G11&gt;=4200,G11&lt;=4800),(800+800*G13),(1600+1600*G13)))),IF(O4=1,IF(G11=0,0,IF(AND(G11&gt;0,G11&lt;4200),(600+600*G13),IF(AND(G11&gt;=4200,G11&lt;=4800),(1600+1600*G13),(3200+3200*G13))))))</f>
        <v>0</v>
      </c>
      <c r="H25" s="124">
        <f>IF(O4=2,IF(H11=0,0,IF(AND(H11&gt;0,H11&lt;4200),(400+400*H13),IF(AND(H11&gt;=4200,H11&lt;=4800),(800+800*H13),(1600+1600*H13)))),IF(O4=1,IF(H11=0,0,IF(AND(H11&gt;0,H11&lt;4200),(600+600*H13),IF(AND(H11&gt;=4200,H11&lt;=4800),(1600+1600*H13),(3200+3200*H13))))))</f>
        <v>0</v>
      </c>
      <c r="I25" s="124">
        <f>IF(O4=2,IF(I11=0,0,IF(AND(I11&gt;0,I11&lt;4200),(400+400*I13),IF(AND(I11&gt;=4200,I11&lt;=4800),(800+800*I13),(1600+1600*I13)))),IF(O4=1,IF(I11=0,0,IF(AND(I11&gt;0,I11&lt;4200),(600+600*I13),IF(AND(I11&gt;=4200,I11&lt;=4800),(1600+1600*I13),(3200+3200*I13))))))</f>
        <v>0</v>
      </c>
      <c r="J25" s="124">
        <f>IF(O4=2,IF(J11=0,0,IF(AND(J11&gt;0,J11&lt;4200),(400+400*J13),IF(AND(J11&gt;=4200,J11&lt;=4800),(800+800*J13),(1600+1600*J13)))),IF(O4=1,IF(J11=0,0,IF(AND(J11&gt;0,J11&lt;4200),(600+600*J13),IF(AND(J11&gt;=4200,J11&lt;=4800),(1600+1600*J13),(3200+3200*J13))))))</f>
        <v>0</v>
      </c>
      <c r="K25" s="124">
        <f>IF(O4=2,IF(K11=0,0,IF(AND(K11&gt;0,K11&lt;4200),(400+400*K13),IF(AND(K11&gt;=4200,K11&lt;=4800),(800+800*K13),(1600+1600*K13)))),IF(O4=1,IF(K11=0,0,IF(AND(K11&gt;0,K11&lt;4200),(600+600*K13),IF(AND(K11&gt;=4200,K11&lt;=4800),(1600+1600*K13),(3200+3200*K13))))))</f>
        <v>0</v>
      </c>
      <c r="L25" s="124">
        <f>IF(O4=2,IF(L11=0,0,IF(AND(L11&gt;0,L11&lt;4200),(400+400*L13),IF(AND(L11&gt;=4200,L11&lt;=4800),(800+800*L13),(1600+1600*L13)))),IF(O4=1,IF(L11=0,0,IF(AND(L11&gt;0,L11&lt;4200),(600+600*L13),IF(AND(L11&gt;=4200,L11&lt;=4800),(1600+1600*L13),(3200+3200*L13))))))</f>
        <v>0</v>
      </c>
      <c r="M25" s="124">
        <f>IF(O4=2,IF(M11=0,0,IF(AND(M11&gt;0,M11&lt;4200),(400+400*M13),IF(AND(M11&gt;=4200,M11&lt;=4800),(800+800*M13),(1600+1600*M13)))),IF(O4=1,IF(M11=0,0,IF(AND(M11&gt;0,M11&lt;4200),(600+600*M13),IF(AND(M11&gt;=4200,M11&lt;=4800),(1600+1600*M13),(3200+3200*M13))))))</f>
        <v>0</v>
      </c>
      <c r="N25" s="124">
        <f>IF(O4=2,IF(N11=0,0,IF(AND(N11&gt;0,N11&lt;4200),(400+400*N13),IF(AND(N11&gt;=4200,N11&lt;=4800),(800+800*N13),(1600+1600*N13)))),IF(O4=1,IF(N11=0,0,IF(AND(N11&gt;0,N11&lt;4200),(600+600*N13),IF(AND(N11&gt;=4200,N11&lt;=4800),(1600+1600*N13),(3200+3200*N13))))))</f>
        <v>0</v>
      </c>
      <c r="O25" s="120">
        <f t="shared" si="3"/>
        <v>0</v>
      </c>
      <c r="P25" s="8"/>
      <c r="Q25" s="121"/>
    </row>
    <row r="26" spans="1:17" ht="12.75">
      <c r="A26" s="296" t="s">
        <v>168</v>
      </c>
      <c r="B26" s="297"/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20">
        <f t="shared" si="3"/>
        <v>0</v>
      </c>
      <c r="P26" s="8"/>
      <c r="Q26" s="121"/>
    </row>
    <row r="27" spans="1:17" ht="12.75">
      <c r="A27" s="296" t="s">
        <v>49</v>
      </c>
      <c r="B27" s="297"/>
      <c r="C27" s="129">
        <f>IF(O7=1,INT((C10+C11)*30/100+0.5),IF(O7=2,INT((C10+C11)*15/100+0.5),(0)))</f>
        <v>0</v>
      </c>
      <c r="D27" s="129">
        <f>IF(O7=1,INT((D10+D11)*30/100+0.5),IF(O7=2,INT((D10+D11)*15/100+0.5),(0)))</f>
        <v>0</v>
      </c>
      <c r="E27" s="129">
        <f>IF(O7=1,INT((E10+E11)*30/100+0.5),IF(O7=2,INT((E10+E11)*15/100+0.5),(0)))</f>
        <v>0</v>
      </c>
      <c r="F27" s="129">
        <f>IF(O7=1,INT((F10+F11)*30/100+0.5),IF(O7=2,INT((F10+F11)*15/100+0.5),(0)))</f>
        <v>0</v>
      </c>
      <c r="G27" s="129">
        <f>IF(O7=1,INT((G10+G11)*30/100+0.5),IF(O7=2,INT((G10+G11)*15/100+0.5),(0)))</f>
        <v>0</v>
      </c>
      <c r="H27" s="129">
        <f>IF(O7=1,INT((H10+H11)*30/100+0.5),IF(O7=2,INT((H10+H11)*15/100+0.5),(0)))</f>
        <v>0</v>
      </c>
      <c r="I27" s="129">
        <f>IF(O7=1,INT((I10+I11)*30/100+0.5),IF(O7=2,INT((I10+I11)*15/100+0.5),(0)))</f>
        <v>0</v>
      </c>
      <c r="J27" s="129">
        <f>IF(O7=1,INT((J10+J11)*30/100+0.5),IF(O7=2,INT((J10+J11)*15/100+0.5),(0)))</f>
        <v>0</v>
      </c>
      <c r="K27" s="129">
        <f>IF(O7=1,INT((K10+K11)*30/100+0.5),IF(O7=2,INT((K10+K11)*15/100+0.5),(0)))</f>
        <v>0</v>
      </c>
      <c r="L27" s="129">
        <f>IF(O7=1,INT((L10+L11)*30/100+0.5),IF(O7=2,INT((L10+L11)*15/100+0.5),(0)))</f>
        <v>0</v>
      </c>
      <c r="M27" s="129">
        <f>IF(O7=1,INT((M10+M11)*30/100+0.5),IF(O7=2,INT((M10+M11)*15/100+0.5),(0)))</f>
        <v>0</v>
      </c>
      <c r="N27" s="129">
        <f>IF(O7=1,INT((N10+N11)*30/100+0.5),IF(O7=2,INT((N10+N11)*15/100+0.5),(0)))</f>
        <v>0</v>
      </c>
      <c r="O27" s="120">
        <f>SUM(C27:N27)</f>
        <v>0</v>
      </c>
      <c r="P27" s="8"/>
      <c r="Q27" s="121"/>
    </row>
    <row r="28" spans="1:17" ht="12.75">
      <c r="A28" s="296" t="s">
        <v>50</v>
      </c>
      <c r="B28" s="297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20">
        <f>SUM(C28:N28)</f>
        <v>0</v>
      </c>
      <c r="P28" s="8"/>
      <c r="Q28" s="121"/>
    </row>
    <row r="29" spans="1:17" ht="15.75">
      <c r="A29" s="302" t="s">
        <v>169</v>
      </c>
      <c r="B29" s="303"/>
      <c r="C29" s="127">
        <f>SUM(C25:C28)</f>
        <v>0</v>
      </c>
      <c r="D29" s="127">
        <f aca="true" t="shared" si="6" ref="D29:N29">SUM(D25:D28)</f>
        <v>0</v>
      </c>
      <c r="E29" s="127">
        <f t="shared" si="6"/>
        <v>0</v>
      </c>
      <c r="F29" s="127">
        <f t="shared" si="6"/>
        <v>0</v>
      </c>
      <c r="G29" s="127">
        <f t="shared" si="6"/>
        <v>0</v>
      </c>
      <c r="H29" s="127">
        <f t="shared" si="6"/>
        <v>0</v>
      </c>
      <c r="I29" s="127">
        <f t="shared" si="6"/>
        <v>0</v>
      </c>
      <c r="J29" s="127">
        <f t="shared" si="6"/>
        <v>0</v>
      </c>
      <c r="K29" s="127">
        <f t="shared" si="6"/>
        <v>0</v>
      </c>
      <c r="L29" s="127">
        <f t="shared" si="6"/>
        <v>0</v>
      </c>
      <c r="M29" s="127">
        <f t="shared" si="6"/>
        <v>0</v>
      </c>
      <c r="N29" s="127">
        <f t="shared" si="6"/>
        <v>0</v>
      </c>
      <c r="O29" s="128">
        <f t="shared" si="3"/>
        <v>0</v>
      </c>
      <c r="P29" s="8"/>
      <c r="Q29" s="121"/>
    </row>
    <row r="30" spans="1:17" ht="15.75">
      <c r="A30" s="304" t="s">
        <v>170</v>
      </c>
      <c r="B30" s="305"/>
      <c r="C30" s="130">
        <f aca="true" t="shared" si="7" ref="C30:N30">SUM(C24+C29)</f>
        <v>0</v>
      </c>
      <c r="D30" s="130">
        <f t="shared" si="7"/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0</v>
      </c>
      <c r="L30" s="130">
        <f t="shared" si="7"/>
        <v>0</v>
      </c>
      <c r="M30" s="130">
        <f t="shared" si="7"/>
        <v>0</v>
      </c>
      <c r="N30" s="130">
        <f t="shared" si="7"/>
        <v>0</v>
      </c>
      <c r="O30" s="130">
        <f t="shared" si="3"/>
        <v>0</v>
      </c>
      <c r="P30" s="8"/>
      <c r="Q30" s="121"/>
    </row>
    <row r="31" spans="1:17" ht="18">
      <c r="A31" s="131" t="s">
        <v>55</v>
      </c>
      <c r="B31" s="132"/>
      <c r="C31" s="133" t="s">
        <v>56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8"/>
      <c r="Q31" s="121"/>
    </row>
    <row r="32" spans="1:17" ht="12.75">
      <c r="A32" s="296" t="s">
        <v>57</v>
      </c>
      <c r="B32" s="297"/>
      <c r="C32" s="124">
        <f>ROUND(((C10+C11)/12),0)</f>
        <v>0</v>
      </c>
      <c r="D32" s="124">
        <f aca="true" t="shared" si="8" ref="D32:N32">ROUND(((D10+D11)/12),0)</f>
        <v>0</v>
      </c>
      <c r="E32" s="124">
        <f t="shared" si="8"/>
        <v>0</v>
      </c>
      <c r="F32" s="124">
        <f t="shared" si="8"/>
        <v>0</v>
      </c>
      <c r="G32" s="124">
        <f t="shared" si="8"/>
        <v>0</v>
      </c>
      <c r="H32" s="124">
        <f t="shared" si="8"/>
        <v>0</v>
      </c>
      <c r="I32" s="124">
        <f t="shared" si="8"/>
        <v>0</v>
      </c>
      <c r="J32" s="124">
        <f t="shared" si="8"/>
        <v>0</v>
      </c>
      <c r="K32" s="124">
        <f t="shared" si="8"/>
        <v>0</v>
      </c>
      <c r="L32" s="124">
        <f t="shared" si="8"/>
        <v>0</v>
      </c>
      <c r="M32" s="124">
        <f t="shared" si="8"/>
        <v>0</v>
      </c>
      <c r="N32" s="124">
        <f t="shared" si="8"/>
        <v>0</v>
      </c>
      <c r="O32" s="136">
        <f>SUM(C32:N32)</f>
        <v>0</v>
      </c>
      <c r="P32" s="8"/>
      <c r="Q32" s="121"/>
    </row>
    <row r="33" spans="1:17" ht="12.75">
      <c r="A33" s="296" t="s">
        <v>58</v>
      </c>
      <c r="B33" s="297"/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36">
        <f>SUM(C33:N33)</f>
        <v>0</v>
      </c>
      <c r="P33" s="8"/>
      <c r="Q33" s="121"/>
    </row>
    <row r="34" spans="1:17" ht="12.75">
      <c r="A34" s="296" t="s">
        <v>59</v>
      </c>
      <c r="B34" s="297"/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36">
        <f aca="true" t="shared" si="9" ref="O34:O45">SUM(C34:N34)</f>
        <v>0</v>
      </c>
      <c r="P34" s="8"/>
      <c r="Q34" s="121"/>
    </row>
    <row r="35" spans="1:17" ht="12.75">
      <c r="A35" s="296" t="s">
        <v>171</v>
      </c>
      <c r="B35" s="297"/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36">
        <f t="shared" si="9"/>
        <v>0</v>
      </c>
      <c r="P35" s="8"/>
      <c r="Q35" s="121"/>
    </row>
    <row r="36" spans="1:17" ht="12.75">
      <c r="A36" s="296" t="s">
        <v>61</v>
      </c>
      <c r="B36" s="297"/>
      <c r="C36" s="118">
        <v>0</v>
      </c>
      <c r="D36" s="118">
        <v>0</v>
      </c>
      <c r="E36" s="118">
        <f aca="true" t="shared" si="10" ref="E36:N36">D36</f>
        <v>0</v>
      </c>
      <c r="F36" s="118">
        <f t="shared" si="10"/>
        <v>0</v>
      </c>
      <c r="G36" s="118">
        <f t="shared" si="10"/>
        <v>0</v>
      </c>
      <c r="H36" s="118">
        <f t="shared" si="10"/>
        <v>0</v>
      </c>
      <c r="I36" s="118">
        <f t="shared" si="10"/>
        <v>0</v>
      </c>
      <c r="J36" s="118">
        <f t="shared" si="10"/>
        <v>0</v>
      </c>
      <c r="K36" s="118">
        <f t="shared" si="10"/>
        <v>0</v>
      </c>
      <c r="L36" s="118">
        <f t="shared" si="10"/>
        <v>0</v>
      </c>
      <c r="M36" s="118">
        <f t="shared" si="10"/>
        <v>0</v>
      </c>
      <c r="N36" s="118">
        <f t="shared" si="10"/>
        <v>0</v>
      </c>
      <c r="O36" s="136">
        <f t="shared" si="9"/>
        <v>0</v>
      </c>
      <c r="P36" s="8"/>
      <c r="Q36" s="121"/>
    </row>
    <row r="37" spans="1:17" ht="12.75">
      <c r="A37" s="296" t="s">
        <v>62</v>
      </c>
      <c r="B37" s="297"/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36">
        <f t="shared" si="9"/>
        <v>0</v>
      </c>
      <c r="P37" s="8"/>
      <c r="Q37" s="121"/>
    </row>
    <row r="38" spans="1:17" ht="12.75">
      <c r="A38" s="296" t="s">
        <v>172</v>
      </c>
      <c r="B38" s="297"/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36">
        <f t="shared" si="9"/>
        <v>0</v>
      </c>
      <c r="P38" s="8"/>
      <c r="Q38" s="121"/>
    </row>
    <row r="39" spans="1:17" ht="12.75">
      <c r="A39" s="296" t="s">
        <v>173</v>
      </c>
      <c r="B39" s="297"/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36">
        <f>SUM(C39:N39)</f>
        <v>0</v>
      </c>
      <c r="P39" s="8"/>
      <c r="Q39" s="121"/>
    </row>
    <row r="40" spans="1:17" ht="12.75">
      <c r="A40" s="306" t="s">
        <v>174</v>
      </c>
      <c r="B40" s="307"/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36">
        <f>SUM(C40:N40)</f>
        <v>0</v>
      </c>
      <c r="P40" s="8"/>
      <c r="Q40" s="121"/>
    </row>
    <row r="41" spans="1:17" ht="12.75">
      <c r="A41" s="306"/>
      <c r="B41" s="30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36">
        <f>SUM(C41:N41)</f>
        <v>0</v>
      </c>
      <c r="P41" s="8"/>
      <c r="Q41" s="121"/>
    </row>
    <row r="42" spans="1:17" ht="12.75">
      <c r="A42" s="306"/>
      <c r="B42" s="30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36">
        <f>SUM(C42:N42)</f>
        <v>0</v>
      </c>
      <c r="P42" s="8"/>
      <c r="Q42" s="121"/>
    </row>
    <row r="43" spans="1:17" ht="12.75">
      <c r="A43" s="306"/>
      <c r="B43" s="30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36">
        <f>SUM(C43:N43)</f>
        <v>0</v>
      </c>
      <c r="P43" s="8"/>
      <c r="Q43" s="121"/>
    </row>
    <row r="44" spans="1:17" ht="15.75">
      <c r="A44" s="308" t="s">
        <v>175</v>
      </c>
      <c r="B44" s="309"/>
      <c r="C44" s="128">
        <f>SUM(C32:C43)</f>
        <v>0</v>
      </c>
      <c r="D44" s="128">
        <f aca="true" t="shared" si="11" ref="D44:N44">SUM(D32:D43)</f>
        <v>0</v>
      </c>
      <c r="E44" s="128">
        <f t="shared" si="11"/>
        <v>0</v>
      </c>
      <c r="F44" s="128">
        <f t="shared" si="11"/>
        <v>0</v>
      </c>
      <c r="G44" s="128">
        <f t="shared" si="11"/>
        <v>0</v>
      </c>
      <c r="H44" s="128">
        <f t="shared" si="11"/>
        <v>0</v>
      </c>
      <c r="I44" s="128">
        <f t="shared" si="11"/>
        <v>0</v>
      </c>
      <c r="J44" s="128">
        <f t="shared" si="11"/>
        <v>0</v>
      </c>
      <c r="K44" s="128">
        <f t="shared" si="11"/>
        <v>0</v>
      </c>
      <c r="L44" s="128">
        <f t="shared" si="11"/>
        <v>0</v>
      </c>
      <c r="M44" s="128">
        <f t="shared" si="11"/>
        <v>0</v>
      </c>
      <c r="N44" s="128">
        <f t="shared" si="11"/>
        <v>0</v>
      </c>
      <c r="O44" s="137">
        <f t="shared" si="9"/>
        <v>0</v>
      </c>
      <c r="P44" s="8"/>
      <c r="Q44" s="121"/>
    </row>
    <row r="45" spans="1:17" ht="15.75">
      <c r="A45" s="304" t="s">
        <v>71</v>
      </c>
      <c r="B45" s="305"/>
      <c r="C45" s="130">
        <f aca="true" t="shared" si="12" ref="C45:N45">(C30-C44)</f>
        <v>0</v>
      </c>
      <c r="D45" s="130">
        <f t="shared" si="12"/>
        <v>0</v>
      </c>
      <c r="E45" s="130">
        <f t="shared" si="12"/>
        <v>0</v>
      </c>
      <c r="F45" s="130">
        <f t="shared" si="12"/>
        <v>0</v>
      </c>
      <c r="G45" s="130">
        <f t="shared" si="12"/>
        <v>0</v>
      </c>
      <c r="H45" s="130">
        <f t="shared" si="12"/>
        <v>0</v>
      </c>
      <c r="I45" s="130">
        <f t="shared" si="12"/>
        <v>0</v>
      </c>
      <c r="J45" s="130">
        <f t="shared" si="12"/>
        <v>0</v>
      </c>
      <c r="K45" s="130">
        <f t="shared" si="12"/>
        <v>0</v>
      </c>
      <c r="L45" s="130">
        <f t="shared" si="12"/>
        <v>0</v>
      </c>
      <c r="M45" s="130">
        <f t="shared" si="12"/>
        <v>0</v>
      </c>
      <c r="N45" s="130">
        <f t="shared" si="12"/>
        <v>0</v>
      </c>
      <c r="O45" s="137">
        <f t="shared" si="9"/>
        <v>0</v>
      </c>
      <c r="P45" s="8"/>
      <c r="Q45" s="121"/>
    </row>
    <row r="46" spans="1:17" ht="18">
      <c r="A46" s="310" t="str">
        <f>IF(O6=1," INCOME","INCOME")</f>
        <v> INCOME</v>
      </c>
      <c r="B46" s="311"/>
      <c r="C46" s="312"/>
      <c r="D46" s="138"/>
      <c r="E46" s="139"/>
      <c r="F46" s="313" t="s">
        <v>72</v>
      </c>
      <c r="G46" s="314"/>
      <c r="H46" s="314"/>
      <c r="I46" s="314"/>
      <c r="J46" s="314"/>
      <c r="K46" s="314"/>
      <c r="L46" s="314"/>
      <c r="M46" s="315"/>
      <c r="N46" s="140"/>
      <c r="O46" s="140"/>
      <c r="P46" s="138"/>
      <c r="Q46" s="121"/>
    </row>
    <row r="47" spans="1:17" ht="12.75">
      <c r="A47" s="316" t="s">
        <v>176</v>
      </c>
      <c r="B47" s="317"/>
      <c r="C47" s="141">
        <f>(O24-70/100*O19)</f>
        <v>0</v>
      </c>
      <c r="D47" s="138"/>
      <c r="E47" s="142"/>
      <c r="F47" s="318" t="s">
        <v>73</v>
      </c>
      <c r="G47" s="319"/>
      <c r="H47" s="143" t="s">
        <v>74</v>
      </c>
      <c r="I47" s="144" t="s">
        <v>75</v>
      </c>
      <c r="J47" s="320" t="s">
        <v>73</v>
      </c>
      <c r="K47" s="318"/>
      <c r="L47" s="321"/>
      <c r="M47" s="143" t="s">
        <v>177</v>
      </c>
      <c r="N47" s="140"/>
      <c r="O47" s="138"/>
      <c r="P47" s="138"/>
      <c r="Q47" s="121"/>
    </row>
    <row r="48" spans="1:17" ht="15.75">
      <c r="A48" s="322" t="s">
        <v>178</v>
      </c>
      <c r="B48" s="323"/>
      <c r="C48" s="141">
        <f>IF(O25&lt;=9600,0,(O25-9600))</f>
        <v>0</v>
      </c>
      <c r="D48" s="138"/>
      <c r="E48" s="142"/>
      <c r="F48" s="324" t="s">
        <v>77</v>
      </c>
      <c r="G48" s="323"/>
      <c r="H48" s="145">
        <v>0</v>
      </c>
      <c r="I48" s="146">
        <f>IF(H48&lt;35000,H48,35000)</f>
        <v>0</v>
      </c>
      <c r="J48" s="325" t="s">
        <v>179</v>
      </c>
      <c r="K48" s="326"/>
      <c r="L48" s="327"/>
      <c r="M48" s="147">
        <f>O75</f>
        <v>0</v>
      </c>
      <c r="N48" s="140"/>
      <c r="O48" s="138"/>
      <c r="P48" s="138"/>
      <c r="Q48" s="121"/>
    </row>
    <row r="49" spans="1:17" ht="12.75">
      <c r="A49" s="322" t="s">
        <v>117</v>
      </c>
      <c r="B49" s="323"/>
      <c r="C49" s="141">
        <f>M68</f>
        <v>0</v>
      </c>
      <c r="D49" s="138"/>
      <c r="E49" s="142"/>
      <c r="F49" s="324" t="s">
        <v>80</v>
      </c>
      <c r="G49" s="323"/>
      <c r="H49" s="145">
        <v>0</v>
      </c>
      <c r="I49" s="146">
        <f>IF(H49&lt;50000,H49,50000)</f>
        <v>0</v>
      </c>
      <c r="J49" s="328" t="s">
        <v>81</v>
      </c>
      <c r="K49" s="324"/>
      <c r="L49" s="323"/>
      <c r="M49" s="145">
        <v>0</v>
      </c>
      <c r="N49" s="140"/>
      <c r="O49" s="138"/>
      <c r="P49" s="138"/>
      <c r="Q49" s="121"/>
    </row>
    <row r="50" spans="1:17" ht="15.75">
      <c r="A50" s="329" t="s">
        <v>180</v>
      </c>
      <c r="B50" s="330"/>
      <c r="C50" s="148">
        <f>SUM(C47:C49)</f>
        <v>0</v>
      </c>
      <c r="D50" s="138"/>
      <c r="E50" s="142"/>
      <c r="F50" s="324" t="s">
        <v>83</v>
      </c>
      <c r="G50" s="323"/>
      <c r="H50" s="145">
        <v>0</v>
      </c>
      <c r="I50" s="146">
        <f>IF(H50&lt;40000,H50,40000)</f>
        <v>0</v>
      </c>
      <c r="J50" s="328" t="s">
        <v>84</v>
      </c>
      <c r="K50" s="324"/>
      <c r="L50" s="323"/>
      <c r="M50" s="145">
        <v>0</v>
      </c>
      <c r="N50" s="140"/>
      <c r="O50" s="138"/>
      <c r="P50" s="138"/>
      <c r="Q50" s="121"/>
    </row>
    <row r="51" spans="1:17" ht="12.75">
      <c r="A51" s="331" t="s">
        <v>85</v>
      </c>
      <c r="B51" s="332"/>
      <c r="C51" s="149">
        <f>(O32+O33+O34+O38)</f>
        <v>0</v>
      </c>
      <c r="D51" s="138"/>
      <c r="E51" s="142"/>
      <c r="F51" s="324" t="s">
        <v>86</v>
      </c>
      <c r="G51" s="323"/>
      <c r="H51" s="145">
        <v>0</v>
      </c>
      <c r="I51" s="146">
        <f>H51</f>
        <v>0</v>
      </c>
      <c r="J51" s="328" t="s">
        <v>87</v>
      </c>
      <c r="K51" s="324"/>
      <c r="L51" s="323"/>
      <c r="M51" s="145">
        <v>0</v>
      </c>
      <c r="N51" s="150"/>
      <c r="O51" s="140"/>
      <c r="P51" s="140"/>
      <c r="Q51" s="121"/>
    </row>
    <row r="52" spans="1:17" ht="12.75">
      <c r="A52" s="331" t="s">
        <v>88</v>
      </c>
      <c r="B52" s="332"/>
      <c r="C52" s="149">
        <f>M60</f>
        <v>0</v>
      </c>
      <c r="D52" s="138"/>
      <c r="E52" s="142"/>
      <c r="F52" s="324" t="s">
        <v>89</v>
      </c>
      <c r="G52" s="323"/>
      <c r="H52" s="145">
        <v>0</v>
      </c>
      <c r="I52" s="146">
        <f>H52</f>
        <v>0</v>
      </c>
      <c r="J52" s="333" t="s">
        <v>181</v>
      </c>
      <c r="K52" s="334"/>
      <c r="L52" s="335"/>
      <c r="M52" s="145">
        <v>0</v>
      </c>
      <c r="N52" s="140"/>
      <c r="O52" s="140"/>
      <c r="P52" s="140"/>
      <c r="Q52" s="121"/>
    </row>
    <row r="53" spans="1:17" ht="12.75">
      <c r="A53" s="331" t="s">
        <v>91</v>
      </c>
      <c r="B53" s="332"/>
      <c r="C53" s="141">
        <f>IF((C51+C52)&lt;100000,(C51+C52),100000)</f>
        <v>0</v>
      </c>
      <c r="D53" s="138"/>
      <c r="E53" s="142"/>
      <c r="F53" s="324" t="s">
        <v>92</v>
      </c>
      <c r="G53" s="323"/>
      <c r="H53" s="145">
        <v>0</v>
      </c>
      <c r="I53" s="146">
        <f>IF(H53&lt;24000,H53,24000)</f>
        <v>0</v>
      </c>
      <c r="J53" s="328" t="s">
        <v>182</v>
      </c>
      <c r="K53" s="326"/>
      <c r="L53" s="327"/>
      <c r="M53" s="145">
        <v>0</v>
      </c>
      <c r="N53" s="140"/>
      <c r="O53" s="140"/>
      <c r="P53" s="140"/>
      <c r="Q53" s="121"/>
    </row>
    <row r="54" spans="1:17" ht="12.75">
      <c r="A54" s="336" t="s">
        <v>61</v>
      </c>
      <c r="B54" s="293"/>
      <c r="C54" s="141">
        <f>(O36)</f>
        <v>0</v>
      </c>
      <c r="D54" s="138"/>
      <c r="E54" s="142"/>
      <c r="F54" s="324" t="s">
        <v>94</v>
      </c>
      <c r="G54" s="323"/>
      <c r="H54" s="145">
        <v>0</v>
      </c>
      <c r="I54" s="146">
        <f>H54</f>
        <v>0</v>
      </c>
      <c r="J54" s="328" t="s">
        <v>95</v>
      </c>
      <c r="K54" s="326"/>
      <c r="L54" s="327"/>
      <c r="M54" s="145">
        <v>0</v>
      </c>
      <c r="N54" s="140"/>
      <c r="O54" s="140"/>
      <c r="P54" s="140"/>
      <c r="Q54" s="121"/>
    </row>
    <row r="55" spans="1:17" ht="12.75">
      <c r="A55" s="336" t="s">
        <v>96</v>
      </c>
      <c r="B55" s="293"/>
      <c r="C55" s="141">
        <f>I64</f>
        <v>0</v>
      </c>
      <c r="D55" s="138"/>
      <c r="E55" s="142"/>
      <c r="F55" s="324" t="s">
        <v>97</v>
      </c>
      <c r="G55" s="323"/>
      <c r="H55" s="145">
        <v>0</v>
      </c>
      <c r="I55" s="146">
        <f>IF(H55&lt;15000,H55,15000)</f>
        <v>0</v>
      </c>
      <c r="J55" s="328" t="s">
        <v>98</v>
      </c>
      <c r="K55" s="326"/>
      <c r="L55" s="327"/>
      <c r="M55" s="145">
        <v>0</v>
      </c>
      <c r="N55" s="140"/>
      <c r="O55" s="140"/>
      <c r="P55" s="140"/>
      <c r="Q55" s="121"/>
    </row>
    <row r="56" spans="1:17" ht="12.75">
      <c r="A56" s="336" t="s">
        <v>99</v>
      </c>
      <c r="B56" s="293"/>
      <c r="C56" s="141">
        <f>I63</f>
        <v>0</v>
      </c>
      <c r="D56" s="138"/>
      <c r="E56" s="142"/>
      <c r="F56" s="324" t="s">
        <v>100</v>
      </c>
      <c r="G56" s="323"/>
      <c r="H56" s="145">
        <v>0</v>
      </c>
      <c r="I56" s="146">
        <f>IF(H56&lt;50000,H56,50000)</f>
        <v>0</v>
      </c>
      <c r="J56" s="328" t="s">
        <v>101</v>
      </c>
      <c r="K56" s="326"/>
      <c r="L56" s="327"/>
      <c r="M56" s="145">
        <v>0</v>
      </c>
      <c r="N56" s="140"/>
      <c r="O56" s="140"/>
      <c r="P56" s="140"/>
      <c r="Q56" s="121"/>
    </row>
    <row r="57" spans="1:17" ht="12.75">
      <c r="A57" s="336" t="s">
        <v>102</v>
      </c>
      <c r="B57" s="293"/>
      <c r="C57" s="141">
        <f>I60</f>
        <v>0</v>
      </c>
      <c r="D57" s="138"/>
      <c r="E57" s="142"/>
      <c r="F57" s="324"/>
      <c r="G57" s="323"/>
      <c r="H57" s="145">
        <v>0</v>
      </c>
      <c r="I57" s="146">
        <v>0</v>
      </c>
      <c r="J57" s="328"/>
      <c r="K57" s="326"/>
      <c r="L57" s="327"/>
      <c r="M57" s="145">
        <v>0</v>
      </c>
      <c r="N57" s="140"/>
      <c r="O57" s="140"/>
      <c r="P57" s="140"/>
      <c r="Q57" s="121"/>
    </row>
    <row r="58" spans="1:17" ht="15.75">
      <c r="A58" s="337" t="s">
        <v>183</v>
      </c>
      <c r="B58" s="338"/>
      <c r="C58" s="148">
        <f>MROUND(IF(O6=1,IF((C50-C53--C54-C55-C56-C57)&lt;=160000,0,(C50-C53-C54-C55-C56-C57)),IF(O6=2,IF((C50-C53-C54-C55-C56-C57)&lt;=190000,0,(C50-C53-C54-C55-C56-C57)))),10)</f>
        <v>0</v>
      </c>
      <c r="D58" s="138"/>
      <c r="E58" s="142"/>
      <c r="F58" s="324"/>
      <c r="G58" s="323"/>
      <c r="H58" s="145">
        <v>0</v>
      </c>
      <c r="I58" s="146">
        <f>IF(H58&lt;15000,H58,15000)</f>
        <v>0</v>
      </c>
      <c r="J58" s="328" t="s">
        <v>103</v>
      </c>
      <c r="K58" s="326"/>
      <c r="L58" s="327"/>
      <c r="M58" s="145">
        <v>0</v>
      </c>
      <c r="N58" s="140"/>
      <c r="O58" s="140"/>
      <c r="P58" s="140"/>
      <c r="Q58" s="121"/>
    </row>
    <row r="59" spans="1:17" ht="18">
      <c r="A59" s="310" t="str">
        <f>IF(O6=1,"  TAX FOR MALE ","TAX FOR FEMALE ")</f>
        <v>  TAX FOR MALE </v>
      </c>
      <c r="B59" s="311"/>
      <c r="C59" s="312"/>
      <c r="D59" s="138"/>
      <c r="E59" s="142"/>
      <c r="F59" s="339"/>
      <c r="G59" s="340"/>
      <c r="H59" s="145">
        <v>0</v>
      </c>
      <c r="I59" s="146">
        <f>IF(H59&lt;15000,H59,15000)</f>
        <v>0</v>
      </c>
      <c r="J59" s="328" t="s">
        <v>105</v>
      </c>
      <c r="K59" s="326"/>
      <c r="L59" s="327"/>
      <c r="M59" s="145">
        <v>0</v>
      </c>
      <c r="N59" s="140"/>
      <c r="O59" s="140"/>
      <c r="P59" s="140"/>
      <c r="Q59" s="121"/>
    </row>
    <row r="60" spans="1:17" ht="18">
      <c r="A60" s="322" t="s">
        <v>184</v>
      </c>
      <c r="B60" s="323"/>
      <c r="C60" s="141">
        <f>IF(O6=1,IF(C58&lt;=160000,0,IF(AND(C58&gt;160000,C58&lt;=300000),INT(((C58-160000)*10/100)+0.5),14000)),IF(O6=2,IF(C58&lt;=190000,0,IF(AND(C58&gt;190000,C58&lt;=300000),INT(((C58-190000)*10/100)+0.5),11000))))</f>
        <v>0</v>
      </c>
      <c r="D60" s="138"/>
      <c r="E60" s="142"/>
      <c r="F60" s="341" t="s">
        <v>32</v>
      </c>
      <c r="G60" s="342"/>
      <c r="H60" s="151">
        <f>SUM(H48:H59)</f>
        <v>0</v>
      </c>
      <c r="I60" s="151">
        <f>SUM(I48:I59)</f>
        <v>0</v>
      </c>
      <c r="J60" s="343" t="s">
        <v>108</v>
      </c>
      <c r="K60" s="344"/>
      <c r="L60" s="345"/>
      <c r="M60" s="151">
        <f>SUM(M48:M59)</f>
        <v>0</v>
      </c>
      <c r="N60" s="140"/>
      <c r="O60" s="140"/>
      <c r="P60" s="140"/>
      <c r="Q60" s="121"/>
    </row>
    <row r="61" spans="1:17" ht="12.75">
      <c r="A61" s="322" t="s">
        <v>185</v>
      </c>
      <c r="B61" s="323"/>
      <c r="C61" s="141">
        <f>IF(C58&lt;=300000,0,IF(AND(C58&gt;300000,C58&lt;=500000),INT(((C58-300000)*20/100)+0.5),(40000)))</f>
        <v>0</v>
      </c>
      <c r="D61" s="138"/>
      <c r="E61" s="152"/>
      <c r="F61" s="324"/>
      <c r="G61" s="323"/>
      <c r="H61" s="153"/>
      <c r="I61" s="153"/>
      <c r="J61" s="328"/>
      <c r="K61" s="326"/>
      <c r="L61" s="327"/>
      <c r="M61" s="153"/>
      <c r="N61" s="140"/>
      <c r="O61" s="140"/>
      <c r="P61" s="140"/>
      <c r="Q61" s="121"/>
    </row>
    <row r="62" spans="1:17" ht="15.75">
      <c r="A62" s="322" t="s">
        <v>186</v>
      </c>
      <c r="B62" s="323"/>
      <c r="C62" s="141">
        <f>IF(C58&gt;500000,INT(((C58-500000)*30/100)+0.5),(0))</f>
        <v>0</v>
      </c>
      <c r="D62" s="138"/>
      <c r="E62" s="152"/>
      <c r="F62" s="346" t="s">
        <v>110</v>
      </c>
      <c r="G62" s="346"/>
      <c r="H62" s="346"/>
      <c r="I62" s="347"/>
      <c r="J62" s="348" t="s">
        <v>111</v>
      </c>
      <c r="K62" s="349"/>
      <c r="L62" s="349"/>
      <c r="M62" s="153"/>
      <c r="N62" s="140"/>
      <c r="O62" s="140"/>
      <c r="P62" s="140"/>
      <c r="Q62" s="121"/>
    </row>
    <row r="63" spans="1:17" ht="12.75">
      <c r="A63" s="350" t="s">
        <v>187</v>
      </c>
      <c r="B63" s="351"/>
      <c r="C63" s="141">
        <f>SUM(C60:C62)</f>
        <v>0</v>
      </c>
      <c r="D63" s="138"/>
      <c r="E63" s="152"/>
      <c r="F63" s="324" t="s">
        <v>113</v>
      </c>
      <c r="G63" s="323"/>
      <c r="H63" s="145">
        <v>0</v>
      </c>
      <c r="I63" s="146">
        <f>IF(H63&lt;150000,H63,150000)</f>
        <v>0</v>
      </c>
      <c r="J63" s="328" t="s">
        <v>188</v>
      </c>
      <c r="K63" s="324"/>
      <c r="L63" s="323"/>
      <c r="M63" s="145">
        <v>0</v>
      </c>
      <c r="N63" s="140"/>
      <c r="O63" s="140"/>
      <c r="P63" s="140"/>
      <c r="Q63" s="121"/>
    </row>
    <row r="64" spans="1:17" ht="12.75">
      <c r="A64" s="322" t="s">
        <v>189</v>
      </c>
      <c r="B64" s="323"/>
      <c r="C64" s="141">
        <f>INT((C63*3/100)+0.5)</f>
        <v>0</v>
      </c>
      <c r="D64" s="138"/>
      <c r="E64" s="152"/>
      <c r="F64" s="324" t="s">
        <v>116</v>
      </c>
      <c r="G64" s="323"/>
      <c r="H64" s="145">
        <v>0</v>
      </c>
      <c r="I64" s="146">
        <f>IF(H64&lt;150000,H64,150000)</f>
        <v>0</v>
      </c>
      <c r="J64" s="328" t="s">
        <v>117</v>
      </c>
      <c r="K64" s="326"/>
      <c r="L64" s="327"/>
      <c r="M64" s="145">
        <v>0</v>
      </c>
      <c r="N64" s="140"/>
      <c r="O64" s="140"/>
      <c r="P64" s="140"/>
      <c r="Q64" s="121"/>
    </row>
    <row r="65" spans="1:17" ht="12.75">
      <c r="A65" s="322" t="s">
        <v>190</v>
      </c>
      <c r="B65" s="323"/>
      <c r="C65" s="141">
        <f>MROUND(SUM(C63:C64),10)</f>
        <v>0</v>
      </c>
      <c r="D65" s="138"/>
      <c r="E65" s="152"/>
      <c r="F65" s="324"/>
      <c r="G65" s="323"/>
      <c r="H65" s="153"/>
      <c r="I65" s="138"/>
      <c r="J65" s="328" t="s">
        <v>50</v>
      </c>
      <c r="K65" s="326"/>
      <c r="L65" s="327"/>
      <c r="M65" s="147">
        <f>O28</f>
        <v>0</v>
      </c>
      <c r="N65" s="140"/>
      <c r="O65" s="140"/>
      <c r="P65" s="140"/>
      <c r="Q65" s="121"/>
    </row>
    <row r="66" spans="1:17" ht="15">
      <c r="A66" s="352" t="s">
        <v>191</v>
      </c>
      <c r="B66" s="353"/>
      <c r="C66" s="154">
        <f>O35</f>
        <v>0</v>
      </c>
      <c r="D66" s="138"/>
      <c r="E66" s="152"/>
      <c r="F66" s="354"/>
      <c r="G66" s="355"/>
      <c r="H66" s="155"/>
      <c r="I66" s="156"/>
      <c r="J66" s="356"/>
      <c r="K66" s="209"/>
      <c r="L66" s="210"/>
      <c r="M66" s="145">
        <v>0</v>
      </c>
      <c r="N66" s="138"/>
      <c r="O66" s="138"/>
      <c r="P66" s="138"/>
      <c r="Q66" s="121"/>
    </row>
    <row r="67" spans="1:17" ht="16.5">
      <c r="A67" s="357" t="s">
        <v>192</v>
      </c>
      <c r="B67" s="358"/>
      <c r="C67" s="157">
        <f>IF((C65-C66)&gt;0,(C65-C66),0)</f>
        <v>0</v>
      </c>
      <c r="D67" s="138"/>
      <c r="E67" s="152"/>
      <c r="F67" s="359"/>
      <c r="G67" s="360"/>
      <c r="H67" s="153"/>
      <c r="I67" s="158"/>
      <c r="J67" s="361"/>
      <c r="K67" s="362"/>
      <c r="L67" s="363"/>
      <c r="M67" s="145">
        <v>0</v>
      </c>
      <c r="N67" s="138"/>
      <c r="O67" s="138"/>
      <c r="P67" s="138"/>
      <c r="Q67" s="121"/>
    </row>
    <row r="68" spans="1:17" ht="18">
      <c r="A68" s="364" t="s">
        <v>193</v>
      </c>
      <c r="B68" s="365"/>
      <c r="C68" s="158"/>
      <c r="D68" s="138"/>
      <c r="E68" s="159"/>
      <c r="F68" s="366"/>
      <c r="G68" s="360"/>
      <c r="H68" s="160"/>
      <c r="I68" s="158"/>
      <c r="J68" s="343" t="s">
        <v>108</v>
      </c>
      <c r="K68" s="344"/>
      <c r="L68" s="345"/>
      <c r="M68" s="151">
        <f>SUM(M63+M64+M66+M67)+IF(M65&lt;15000,0,(M65-15000))</f>
        <v>0</v>
      </c>
      <c r="N68" s="138"/>
      <c r="O68" s="138"/>
      <c r="P68" s="138"/>
      <c r="Q68" s="121"/>
    </row>
    <row r="69" spans="1:17" ht="12.75">
      <c r="A69" s="161" t="s">
        <v>194</v>
      </c>
      <c r="B69" s="162" t="s">
        <v>195</v>
      </c>
      <c r="C69" s="162" t="s">
        <v>154</v>
      </c>
      <c r="D69" s="162" t="s">
        <v>155</v>
      </c>
      <c r="E69" s="162" t="s">
        <v>156</v>
      </c>
      <c r="F69" s="162" t="s">
        <v>157</v>
      </c>
      <c r="G69" s="162" t="s">
        <v>158</v>
      </c>
      <c r="H69" s="162" t="s">
        <v>159</v>
      </c>
      <c r="I69" s="162" t="s">
        <v>160</v>
      </c>
      <c r="J69" s="162" t="s">
        <v>126</v>
      </c>
      <c r="K69" s="162" t="s">
        <v>161</v>
      </c>
      <c r="L69" s="162" t="s">
        <v>162</v>
      </c>
      <c r="M69" s="162" t="s">
        <v>163</v>
      </c>
      <c r="N69" s="162" t="s">
        <v>164</v>
      </c>
      <c r="O69" s="162" t="s">
        <v>196</v>
      </c>
      <c r="P69" s="162" t="s">
        <v>197</v>
      </c>
      <c r="Q69" s="163" t="s">
        <v>125</v>
      </c>
    </row>
    <row r="70" spans="1:17" ht="15">
      <c r="A70" s="164" t="s">
        <v>198</v>
      </c>
      <c r="B70" s="165">
        <v>0</v>
      </c>
      <c r="C70" s="166">
        <f aca="true" t="shared" si="13" ref="C70:N70">(C32+C33)</f>
        <v>0</v>
      </c>
      <c r="D70" s="166">
        <f t="shared" si="13"/>
        <v>0</v>
      </c>
      <c r="E70" s="166">
        <f t="shared" si="13"/>
        <v>0</v>
      </c>
      <c r="F70" s="166">
        <f t="shared" si="13"/>
        <v>0</v>
      </c>
      <c r="G70" s="166">
        <f t="shared" si="13"/>
        <v>0</v>
      </c>
      <c r="H70" s="166">
        <f t="shared" si="13"/>
        <v>0</v>
      </c>
      <c r="I70" s="166">
        <f t="shared" si="13"/>
        <v>0</v>
      </c>
      <c r="J70" s="166">
        <f t="shared" si="13"/>
        <v>0</v>
      </c>
      <c r="K70" s="166">
        <f t="shared" si="13"/>
        <v>0</v>
      </c>
      <c r="L70" s="166">
        <f t="shared" si="13"/>
        <v>0</v>
      </c>
      <c r="M70" s="166">
        <f t="shared" si="13"/>
        <v>0</v>
      </c>
      <c r="N70" s="166">
        <f t="shared" si="13"/>
        <v>0</v>
      </c>
      <c r="O70" s="166">
        <f>SUM(C70:N70)</f>
        <v>0</v>
      </c>
      <c r="P70" s="167"/>
      <c r="Q70" s="168"/>
    </row>
    <row r="71" spans="1:17" ht="12.75">
      <c r="A71" s="367" t="s">
        <v>131</v>
      </c>
      <c r="B71" s="368"/>
      <c r="C71" s="169">
        <v>0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7"/>
      <c r="P71" s="167"/>
      <c r="Q71" s="170"/>
    </row>
    <row r="72" spans="1:17" ht="12.75">
      <c r="A72" s="367" t="s">
        <v>132</v>
      </c>
      <c r="B72" s="368"/>
      <c r="C72" s="166">
        <f>(B70+C70-C71)</f>
        <v>0</v>
      </c>
      <c r="D72" s="166">
        <f aca="true" t="shared" si="14" ref="D72:N72">(C72+D70-D71)</f>
        <v>0</v>
      </c>
      <c r="E72" s="166">
        <f t="shared" si="14"/>
        <v>0</v>
      </c>
      <c r="F72" s="166">
        <f t="shared" si="14"/>
        <v>0</v>
      </c>
      <c r="G72" s="166">
        <f t="shared" si="14"/>
        <v>0</v>
      </c>
      <c r="H72" s="166">
        <f t="shared" si="14"/>
        <v>0</v>
      </c>
      <c r="I72" s="166">
        <f t="shared" si="14"/>
        <v>0</v>
      </c>
      <c r="J72" s="166">
        <f t="shared" si="14"/>
        <v>0</v>
      </c>
      <c r="K72" s="166">
        <f t="shared" si="14"/>
        <v>0</v>
      </c>
      <c r="L72" s="166">
        <f t="shared" si="14"/>
        <v>0</v>
      </c>
      <c r="M72" s="166">
        <f t="shared" si="14"/>
        <v>0</v>
      </c>
      <c r="N72" s="166">
        <f t="shared" si="14"/>
        <v>0</v>
      </c>
      <c r="O72" s="166"/>
      <c r="P72" s="166">
        <f>(C72+D72+E72+F72+G72+H72+I72+J72+K72+L72+M72+N72)*8/1200</f>
        <v>0</v>
      </c>
      <c r="Q72" s="171">
        <f>(B70+O70+P72)</f>
        <v>0</v>
      </c>
    </row>
    <row r="73" spans="1:17" ht="18">
      <c r="A73" s="369" t="s">
        <v>199</v>
      </c>
      <c r="B73" s="370"/>
      <c r="C73" s="172"/>
      <c r="D73" s="172"/>
      <c r="E73" s="172"/>
      <c r="F73" s="158"/>
      <c r="G73" s="172"/>
      <c r="H73" s="172"/>
      <c r="I73" s="172"/>
      <c r="J73" s="172"/>
      <c r="K73" s="172"/>
      <c r="L73" s="172"/>
      <c r="M73" s="172"/>
      <c r="N73" s="172"/>
      <c r="O73" s="167"/>
      <c r="P73" s="158"/>
      <c r="Q73" s="170"/>
    </row>
    <row r="74" spans="1:17" ht="12.75">
      <c r="A74" s="161" t="s">
        <v>194</v>
      </c>
      <c r="B74" s="162" t="s">
        <v>200</v>
      </c>
      <c r="C74" s="162" t="s">
        <v>155</v>
      </c>
      <c r="D74" s="162" t="s">
        <v>156</v>
      </c>
      <c r="E74" s="162" t="s">
        <v>157</v>
      </c>
      <c r="F74" s="162" t="s">
        <v>158</v>
      </c>
      <c r="G74" s="162" t="s">
        <v>159</v>
      </c>
      <c r="H74" s="162" t="s">
        <v>160</v>
      </c>
      <c r="I74" s="162" t="s">
        <v>126</v>
      </c>
      <c r="J74" s="162" t="s">
        <v>161</v>
      </c>
      <c r="K74" s="162" t="s">
        <v>162</v>
      </c>
      <c r="L74" s="162" t="s">
        <v>163</v>
      </c>
      <c r="M74" s="162" t="s">
        <v>164</v>
      </c>
      <c r="N74" s="162" t="s">
        <v>20</v>
      </c>
      <c r="O74" s="162" t="s">
        <v>196</v>
      </c>
      <c r="P74" s="162" t="s">
        <v>197</v>
      </c>
      <c r="Q74" s="163" t="s">
        <v>134</v>
      </c>
    </row>
    <row r="75" spans="1:17" ht="15">
      <c r="A75" s="164" t="s">
        <v>198</v>
      </c>
      <c r="B75" s="173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4">
        <v>0</v>
      </c>
      <c r="O75" s="147">
        <f>SUM(C75:N75)</f>
        <v>0</v>
      </c>
      <c r="P75" s="146">
        <f>SUM(B75*0.08+C75*8*12/1200+D75*8*11/1200++E75*8*10/1200+F75*8*9/1200+G75*8*8/1200+H75*8*7/1200+I75*8*6/1200+J75*8*5/1200+K75*8*4/1200+L75*8*3/1200+M75*8*2/1200+N75*8*1/1200)</f>
        <v>0</v>
      </c>
      <c r="Q75" s="171">
        <f>SUM(B75+O75+P75)</f>
        <v>0</v>
      </c>
    </row>
    <row r="76" spans="1:17" ht="12.75">
      <c r="A76" s="17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7"/>
    </row>
    <row r="77" spans="1:17" ht="18.75">
      <c r="A77" s="371" t="s">
        <v>201</v>
      </c>
      <c r="B77" s="372"/>
      <c r="C77" s="372"/>
      <c r="D77" s="372"/>
      <c r="E77" s="372"/>
      <c r="F77" s="372"/>
      <c r="G77" s="373" t="s">
        <v>202</v>
      </c>
      <c r="H77" s="373"/>
      <c r="I77" s="373"/>
      <c r="J77" s="373"/>
      <c r="K77" s="373"/>
      <c r="L77" s="373"/>
      <c r="M77" s="373"/>
      <c r="N77" s="373"/>
      <c r="O77" s="373"/>
      <c r="P77" s="116"/>
      <c r="Q77" s="117"/>
    </row>
    <row r="78" spans="1:17" ht="13.5" thickBot="1">
      <c r="A78" s="176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77"/>
    </row>
  </sheetData>
  <sheetProtection/>
  <protectedRanges>
    <protectedRange password="CC61" sqref="C47:C58" name="Range1"/>
  </protectedRanges>
  <mergeCells count="123">
    <mergeCell ref="A72:B72"/>
    <mergeCell ref="A73:B73"/>
    <mergeCell ref="A77:F77"/>
    <mergeCell ref="G77:O77"/>
    <mergeCell ref="A68:B68"/>
    <mergeCell ref="F68:G68"/>
    <mergeCell ref="J68:L68"/>
    <mergeCell ref="A71:B71"/>
    <mergeCell ref="A66:B66"/>
    <mergeCell ref="F66:G66"/>
    <mergeCell ref="J66:L66"/>
    <mergeCell ref="A67:B67"/>
    <mergeCell ref="F67:G67"/>
    <mergeCell ref="J67:L67"/>
    <mergeCell ref="A64:B64"/>
    <mergeCell ref="F64:G64"/>
    <mergeCell ref="J64:L64"/>
    <mergeCell ref="A65:B65"/>
    <mergeCell ref="F65:G65"/>
    <mergeCell ref="J65:L65"/>
    <mergeCell ref="A62:B62"/>
    <mergeCell ref="F62:I62"/>
    <mergeCell ref="J62:L62"/>
    <mergeCell ref="A63:B63"/>
    <mergeCell ref="F63:G63"/>
    <mergeCell ref="J63:L63"/>
    <mergeCell ref="A60:B60"/>
    <mergeCell ref="F60:G60"/>
    <mergeCell ref="J60:L60"/>
    <mergeCell ref="A61:B61"/>
    <mergeCell ref="F61:G61"/>
    <mergeCell ref="J61:L61"/>
    <mergeCell ref="A58:B58"/>
    <mergeCell ref="F58:G58"/>
    <mergeCell ref="J58:L58"/>
    <mergeCell ref="A59:C59"/>
    <mergeCell ref="F59:G59"/>
    <mergeCell ref="J59:L59"/>
    <mergeCell ref="A56:B56"/>
    <mergeCell ref="F56:G56"/>
    <mergeCell ref="J56:L56"/>
    <mergeCell ref="A57:B57"/>
    <mergeCell ref="F57:G57"/>
    <mergeCell ref="J57:L57"/>
    <mergeCell ref="A54:B54"/>
    <mergeCell ref="F54:G54"/>
    <mergeCell ref="J54:L54"/>
    <mergeCell ref="A55:B55"/>
    <mergeCell ref="F55:G55"/>
    <mergeCell ref="J55:L55"/>
    <mergeCell ref="A52:B52"/>
    <mergeCell ref="F52:G52"/>
    <mergeCell ref="J52:L52"/>
    <mergeCell ref="A53:B53"/>
    <mergeCell ref="F53:G53"/>
    <mergeCell ref="J53:L53"/>
    <mergeCell ref="A50:B50"/>
    <mergeCell ref="F50:G50"/>
    <mergeCell ref="J50:L50"/>
    <mergeCell ref="A51:B51"/>
    <mergeCell ref="F51:G51"/>
    <mergeCell ref="J51:L51"/>
    <mergeCell ref="A48:B48"/>
    <mergeCell ref="F48:G48"/>
    <mergeCell ref="J48:L48"/>
    <mergeCell ref="A49:B49"/>
    <mergeCell ref="F49:G49"/>
    <mergeCell ref="J49:L49"/>
    <mergeCell ref="A46:C46"/>
    <mergeCell ref="F46:M46"/>
    <mergeCell ref="A47:B47"/>
    <mergeCell ref="F47:G47"/>
    <mergeCell ref="J47:L47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29:B29"/>
    <mergeCell ref="A30:B30"/>
    <mergeCell ref="A32:B32"/>
    <mergeCell ref="A33:B33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6:N6"/>
    <mergeCell ref="A7:E7"/>
    <mergeCell ref="F7:N7"/>
    <mergeCell ref="A8:E8"/>
    <mergeCell ref="F8:N8"/>
    <mergeCell ref="A3:L3"/>
    <mergeCell ref="M3:Q3"/>
    <mergeCell ref="A4:N4"/>
    <mergeCell ref="A5:N5"/>
    <mergeCell ref="A1:Q1"/>
    <mergeCell ref="A2:E2"/>
    <mergeCell ref="F2:G2"/>
    <mergeCell ref="H2:I2"/>
    <mergeCell ref="K2:Q2"/>
  </mergeCells>
  <conditionalFormatting sqref="C6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Income-Tax11-12</dc:title>
  <dc:subject>Salary-Tax</dc:subject>
  <dc:creator>Lalit Khandelwal</dc:creator>
  <cp:keywords/>
  <dc:description/>
  <cp:lastModifiedBy>Lalit</cp:lastModifiedBy>
  <cp:lastPrinted>2011-03-15T16:34:50Z</cp:lastPrinted>
  <dcterms:created xsi:type="dcterms:W3CDTF">1996-10-14T23:33:28Z</dcterms:created>
  <dcterms:modified xsi:type="dcterms:W3CDTF">2011-04-08T05:58:23Z</dcterms:modified>
  <cp:category/>
  <cp:version/>
  <cp:contentType/>
  <cp:contentStatus/>
</cp:coreProperties>
</file>