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06" windowWidth="15135" windowHeight="9300" activeTab="0"/>
  </bookViews>
  <sheets>
    <sheet name="2012-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Lalit</author>
    <author>TRACER</author>
  </authors>
  <commentList>
    <comment ref="A14" authorId="0">
      <text>
        <r>
          <rPr>
            <sz val="8"/>
            <rFont val="Tahoma"/>
            <family val="0"/>
          </rPr>
          <t xml:space="preserve">Pay only in Pay Band
</t>
        </r>
      </text>
    </comment>
    <comment ref="G14" authorId="1">
      <text>
        <r>
          <rPr>
            <b/>
            <sz val="10"/>
            <color indexed="10"/>
            <rFont val="Tahoma"/>
            <family val="2"/>
          </rPr>
          <t>Added Annual Reegular Increment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2"/>
            <rFont val="Tahoma"/>
            <family val="2"/>
          </rPr>
          <t>If increment is not due, put the actual value</t>
        </r>
      </text>
    </comment>
    <comment ref="A15" authorId="0">
      <text>
        <r>
          <rPr>
            <sz val="8"/>
            <rFont val="Tahoma"/>
            <family val="0"/>
          </rPr>
          <t xml:space="preserve">Sum of </t>
        </r>
        <r>
          <rPr>
            <sz val="8"/>
            <color indexed="10"/>
            <rFont val="Tahoma"/>
            <family val="2"/>
          </rPr>
          <t>Band pay</t>
        </r>
        <r>
          <rPr>
            <sz val="8"/>
            <rFont val="Tahoma"/>
            <family val="0"/>
          </rPr>
          <t xml:space="preserve"> &amp; </t>
        </r>
        <r>
          <rPr>
            <sz val="8"/>
            <color indexed="10"/>
            <rFont val="Tahoma"/>
            <family val="2"/>
          </rPr>
          <t>Grade pay</t>
        </r>
        <r>
          <rPr>
            <sz val="8"/>
            <rFont val="Tahoma"/>
            <family val="0"/>
          </rPr>
          <t xml:space="preserve"> is Basic Pay.
</t>
        </r>
      </text>
    </comment>
    <comment ref="I17" authorId="1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J17" authorId="1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8"/>
            <rFont val="Tahoma"/>
            <family val="0"/>
          </rPr>
          <t xml:space="preserve">Paid alongwith Regular salary
</t>
        </r>
      </text>
    </comment>
    <comment ref="A22" authorId="0">
      <text>
        <r>
          <rPr>
            <sz val="9"/>
            <rFont val="Tahoma"/>
            <family val="2"/>
          </rPr>
          <t>If you are a medical officer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sz val="10"/>
            <rFont val="Tahoma"/>
            <family val="2"/>
          </rPr>
          <t xml:space="preserve">Only for running staff
of Indian Railways.
</t>
        </r>
      </text>
    </comment>
    <comment ref="A34" authorId="0">
      <text>
        <r>
          <rPr>
            <sz val="8"/>
            <rFont val="Tahoma"/>
            <family val="0"/>
          </rPr>
          <t xml:space="preserve">Only for Regular Teaching Faculty
</t>
        </r>
      </text>
    </comment>
    <comment ref="A35" authorId="0">
      <text>
        <r>
          <rPr>
            <sz val="8"/>
            <rFont val="Tahoma"/>
            <family val="0"/>
          </rPr>
          <t xml:space="preserve">Medical Allowance above  Rs 15000 in a year is taxable. See col M79
.
</t>
        </r>
      </text>
    </comment>
    <comment ref="A40" authorId="0">
      <text>
        <r>
          <rPr>
            <sz val="8"/>
            <rFont val="Tahoma"/>
            <family val="0"/>
          </rPr>
          <t xml:space="preserve">Not paid with regular salary but paid separately.
</t>
        </r>
      </text>
    </comment>
    <comment ref="C62" authorId="0">
      <text>
        <r>
          <rPr>
            <sz val="8"/>
            <rFont val="Tahoma"/>
            <family val="0"/>
          </rPr>
          <t xml:space="preserve">Taxable salary+NPS (govt.contribution.)
(70% Running Allowance of Running staff on I.Rly. is Tax Free)
</t>
        </r>
      </text>
    </comment>
    <comment ref="A63" authorId="0">
      <text>
        <r>
          <rPr>
            <sz val="8"/>
            <rFont val="Tahoma"/>
            <family val="0"/>
          </rPr>
          <t xml:space="preserve">TR. Allowance above Rs 9600 p.a. is taxable.
</t>
        </r>
      </text>
    </comment>
    <comment ref="F63" authorId="1">
      <text>
        <r>
          <rPr>
            <sz val="9"/>
            <color indexed="10"/>
            <rFont val="Tahoma"/>
            <family val="2"/>
          </rPr>
          <t>Medical Insurance</t>
        </r>
        <r>
          <rPr>
            <sz val="9"/>
            <rFont val="Tahoma"/>
            <family val="2"/>
          </rPr>
          <t xml:space="preserve">
Max amount</t>
        </r>
        <r>
          <rPr>
            <sz val="9"/>
            <color indexed="10"/>
            <rFont val="Tahoma"/>
            <family val="2"/>
          </rPr>
          <t xml:space="preserve"> Rs 15000(</t>
        </r>
        <r>
          <rPr>
            <sz val="9"/>
            <rFont val="Tahoma"/>
            <family val="2"/>
          </rPr>
          <t>self,spouse,children)</t>
        </r>
        <r>
          <rPr>
            <sz val="8"/>
            <rFont val="Tahoma"/>
            <family val="0"/>
          </rPr>
          <t xml:space="preserve">
                     +
</t>
        </r>
        <r>
          <rPr>
            <sz val="9"/>
            <color indexed="10"/>
            <rFont val="Tahoma"/>
            <family val="2"/>
          </rPr>
          <t xml:space="preserve">Rs 15000 </t>
        </r>
        <r>
          <rPr>
            <sz val="9"/>
            <color indexed="8"/>
            <rFont val="Tahoma"/>
            <family val="2"/>
          </rPr>
          <t>for de</t>
        </r>
        <r>
          <rPr>
            <sz val="9"/>
            <rFont val="Tahoma"/>
            <family val="2"/>
          </rPr>
          <t xml:space="preserve">pendent parents(Rs 20000 if Sr.Citizen)
                 +
</t>
        </r>
        <r>
          <rPr>
            <sz val="9"/>
            <color indexed="10"/>
            <rFont val="Tahoma"/>
            <family val="2"/>
          </rPr>
          <t>Rs 5000 preventive health check-up.</t>
        </r>
      </text>
    </comment>
    <comment ref="C64" authorId="1">
      <text>
        <r>
          <rPr>
            <b/>
            <sz val="9"/>
            <color indexed="12"/>
            <rFont val="Tahoma"/>
            <family val="2"/>
          </rPr>
          <t>Income from other sources like Interest,
Short term /Long term Capital Gain etc.</t>
        </r>
        <r>
          <rPr>
            <sz val="8"/>
            <rFont val="Tahoma"/>
            <family val="0"/>
          </rPr>
          <t xml:space="preserve">
</t>
        </r>
      </text>
    </comment>
    <comment ref="F64" authorId="1">
      <text>
        <r>
          <rPr>
            <sz val="9"/>
            <rFont val="Tahoma"/>
            <family val="2"/>
          </rPr>
          <t xml:space="preserve">Expenditure for medical  treatment for dependent relative for Autism,Cerebral Palsy,Mental Retardation.-Max amount 
</t>
        </r>
        <r>
          <rPr>
            <sz val="9"/>
            <color indexed="10"/>
            <rFont val="Tahoma"/>
            <family val="2"/>
          </rPr>
          <t>Rs</t>
        </r>
        <r>
          <rPr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 xml:space="preserve">50000 </t>
        </r>
        <r>
          <rPr>
            <sz val="9"/>
            <rFont val="Tahoma"/>
            <family val="2"/>
          </rPr>
          <t xml:space="preserve">( </t>
        </r>
        <r>
          <rPr>
            <sz val="9"/>
            <color indexed="10"/>
            <rFont val="Tahoma"/>
            <family val="2"/>
          </rPr>
          <t>Rs 100000</t>
        </r>
        <r>
          <rPr>
            <sz val="9"/>
            <rFont val="Tahoma"/>
            <family val="2"/>
          </rPr>
          <t xml:space="preserve"> for serious disability.)</t>
        </r>
        <r>
          <rPr>
            <sz val="8"/>
            <rFont val="Tahoma"/>
            <family val="0"/>
          </rPr>
          <t xml:space="preserve">
</t>
        </r>
      </text>
    </comment>
    <comment ref="F65" authorId="1">
      <text>
        <r>
          <rPr>
            <sz val="9"/>
            <rFont val="Tahoma"/>
            <family val="2"/>
          </rPr>
          <t xml:space="preserve">Medical Expenditure for specified diseases like Neurological diseases,parkinson's diseases. Max. eligible amount </t>
        </r>
        <r>
          <rPr>
            <sz val="9"/>
            <color indexed="10"/>
            <rFont val="Tahoma"/>
            <family val="2"/>
          </rPr>
          <t>Rs 40000</t>
        </r>
        <r>
          <rPr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(Rs 60000 if dependent patient is Sr citizen)</t>
        </r>
      </text>
    </comment>
    <comment ref="C66" authorId="1">
      <text>
        <r>
          <rPr>
            <b/>
            <sz val="9"/>
            <color indexed="12"/>
            <rFont val="Tahoma"/>
            <family val="2"/>
          </rPr>
          <t>Total of PF,VPF,CGEIS &amp; HBA principal(from salary),NPS,Govt.Contribution.</t>
        </r>
      </text>
    </comment>
    <comment ref="F66" authorId="1">
      <text>
        <r>
          <rPr>
            <sz val="9"/>
            <rFont val="Tahoma"/>
            <family val="2"/>
          </rPr>
          <t>Interest on Education Loan,</t>
        </r>
        <r>
          <rPr>
            <sz val="9"/>
            <color indexed="10"/>
            <rFont val="Tahoma"/>
            <family val="2"/>
          </rPr>
          <t xml:space="preserve"> no maximum limit.</t>
        </r>
        <r>
          <rPr>
            <sz val="8"/>
            <rFont val="Tahoma"/>
            <family val="0"/>
          </rPr>
          <t xml:space="preserve">
</t>
        </r>
      </text>
    </comment>
    <comment ref="C67" authorId="1">
      <text>
        <r>
          <rPr>
            <b/>
            <sz val="9"/>
            <color indexed="12"/>
            <rFont val="Tahoma"/>
            <family val="2"/>
          </rPr>
          <t>LIC,PPF,Tuition Fees,NSC,Other Savings eligible for 80C,80CCC,80CCD,80CCF</t>
        </r>
        <r>
          <rPr>
            <sz val="8"/>
            <rFont val="Tahoma"/>
            <family val="0"/>
          </rPr>
          <t xml:space="preserve">
</t>
        </r>
      </text>
    </comment>
    <comment ref="F67" authorId="1">
      <text>
        <r>
          <rPr>
            <sz val="9"/>
            <rFont val="Tahoma"/>
            <family val="2"/>
          </rPr>
          <t>Deduction for donation as per IT act.</t>
        </r>
        <r>
          <rPr>
            <sz val="8"/>
            <rFont val="Tahoma"/>
            <family val="0"/>
          </rPr>
          <t xml:space="preserve">
</t>
        </r>
      </text>
    </comment>
    <comment ref="F68" authorId="1">
      <text>
        <r>
          <rPr>
            <sz val="8"/>
            <rFont val="Tahoma"/>
            <family val="0"/>
          </rPr>
          <t xml:space="preserve">
      </t>
        </r>
        <r>
          <rPr>
            <sz val="9"/>
            <rFont val="Tahoma"/>
            <family val="2"/>
          </rPr>
          <t xml:space="preserve">                      </t>
        </r>
        <r>
          <rPr>
            <b/>
            <u val="single"/>
            <sz val="9"/>
            <rFont val="Tahoma"/>
            <family val="2"/>
          </rPr>
          <t xml:space="preserve"> Deduction for rent paid,</t>
        </r>
        <r>
          <rPr>
            <sz val="9"/>
            <rFont val="Tahoma"/>
            <family val="2"/>
          </rPr>
          <t xml:space="preserve">
where no HRA is received-Max amount </t>
        </r>
        <r>
          <rPr>
            <sz val="9"/>
            <color indexed="10"/>
            <rFont val="Tahoma"/>
            <family val="2"/>
          </rPr>
          <t xml:space="preserve">Rs 24000.or 25% </t>
        </r>
        <r>
          <rPr>
            <sz val="9"/>
            <rFont val="Tahoma"/>
            <family val="2"/>
          </rPr>
          <t>of total income</t>
        </r>
        <r>
          <rPr>
            <sz val="9"/>
            <color indexed="10"/>
            <rFont val="Tahoma"/>
            <family val="2"/>
          </rPr>
          <t xml:space="preserve"> or actual rent paid in excess of 10% </t>
        </r>
        <r>
          <rPr>
            <sz val="9"/>
            <rFont val="Tahoma"/>
            <family val="2"/>
          </rPr>
          <t>of total income
Where HRA is received-Least of</t>
        </r>
        <r>
          <rPr>
            <sz val="9"/>
            <color indexed="10"/>
            <rFont val="Tahoma"/>
            <family val="2"/>
          </rPr>
          <t xml:space="preserve"> 50% basic</t>
        </r>
        <r>
          <rPr>
            <sz val="9"/>
            <rFont val="Tahoma"/>
            <family val="2"/>
          </rPr>
          <t xml:space="preserve"> pay or </t>
        </r>
        <r>
          <rPr>
            <sz val="9"/>
            <color indexed="10"/>
            <rFont val="Tahoma"/>
            <family val="2"/>
          </rPr>
          <t>Actual HRA</t>
        </r>
        <r>
          <rPr>
            <sz val="9"/>
            <rFont val="Tahoma"/>
            <family val="2"/>
          </rPr>
          <t xml:space="preserve"> OR </t>
        </r>
        <r>
          <rPr>
            <sz val="9"/>
            <color indexed="10"/>
            <rFont val="Tahoma"/>
            <family val="2"/>
          </rPr>
          <t xml:space="preserve">rent </t>
        </r>
        <r>
          <rPr>
            <sz val="9"/>
            <rFont val="Tahoma"/>
            <family val="2"/>
          </rPr>
          <t>paid in excess of 10% of basic pay.</t>
        </r>
        <r>
          <rPr>
            <sz val="9"/>
            <color indexed="12"/>
            <rFont val="Tahoma"/>
            <family val="2"/>
          </rPr>
          <t>(Under section 10(13A))</t>
        </r>
      </text>
    </comment>
    <comment ref="F69" authorId="1">
      <text>
        <r>
          <rPr>
            <sz val="9"/>
            <rFont val="Tahoma"/>
            <family val="2"/>
          </rPr>
          <t>Donation/Contribution to specified organisations.</t>
        </r>
        <r>
          <rPr>
            <sz val="8"/>
            <rFont val="Tahoma"/>
            <family val="0"/>
          </rPr>
          <t xml:space="preserve">
</t>
        </r>
      </text>
    </comment>
    <comment ref="C70" authorId="1">
      <text>
        <r>
          <rPr>
            <b/>
            <sz val="9"/>
            <color indexed="12"/>
            <rFont val="Tahoma"/>
            <family val="2"/>
          </rPr>
          <t xml:space="preserve">HBA loan interest on loan from Agency other than Deptt.
</t>
        </r>
      </text>
    </comment>
    <comment ref="F70" authorId="1">
      <text>
        <r>
          <rPr>
            <sz val="9"/>
            <rFont val="Tahoma"/>
            <family val="2"/>
          </rPr>
          <t>Donation to political party.</t>
        </r>
        <r>
          <rPr>
            <sz val="8"/>
            <rFont val="Tahoma"/>
            <family val="0"/>
          </rPr>
          <t xml:space="preserve">
</t>
        </r>
      </text>
    </comment>
    <comment ref="C71" authorId="1">
      <text>
        <r>
          <rPr>
            <b/>
            <sz val="9"/>
            <color indexed="12"/>
            <rFont val="Tahoma"/>
            <family val="2"/>
          </rPr>
          <t>HBA loan interest on loan from Deptt</t>
        </r>
      </text>
    </comment>
    <comment ref="F71" authorId="1">
      <text>
        <r>
          <rPr>
            <sz val="9"/>
            <rFont val="Tahoma"/>
            <family val="2"/>
          </rPr>
          <t>Deduction for handicapped employee himself.Max-</t>
        </r>
        <r>
          <rPr>
            <sz val="9"/>
            <color indexed="10"/>
            <rFont val="Tahoma"/>
            <family val="2"/>
          </rPr>
          <t>Rs 50000</t>
        </r>
        <r>
          <rPr>
            <sz val="9"/>
            <rFont val="Tahoma"/>
            <family val="2"/>
          </rPr>
          <t>(</t>
        </r>
        <r>
          <rPr>
            <sz val="9"/>
            <color indexed="10"/>
            <rFont val="Tahoma"/>
            <family val="2"/>
          </rPr>
          <t xml:space="preserve">Rs 100000 </t>
        </r>
        <r>
          <rPr>
            <sz val="9"/>
            <rFont val="Tahoma"/>
            <family val="2"/>
          </rPr>
          <t>for serious disability)</t>
        </r>
        <r>
          <rPr>
            <sz val="8"/>
            <rFont val="Tahoma"/>
            <family val="0"/>
          </rPr>
          <t xml:space="preserve">
</t>
        </r>
      </text>
    </comment>
    <comment ref="C72" authorId="1">
      <text>
        <r>
          <rPr>
            <b/>
            <sz val="9"/>
            <color indexed="12"/>
            <rFont val="Tahoma"/>
            <family val="2"/>
          </rPr>
          <t>Eligible Deductions under other sections</t>
        </r>
        <r>
          <rPr>
            <sz val="8"/>
            <rFont val="Tahoma"/>
            <family val="0"/>
          </rPr>
          <t xml:space="preserve">
</t>
        </r>
      </text>
    </comment>
    <comment ref="F72" authorId="0">
      <text>
        <r>
          <rPr>
            <sz val="8"/>
            <rFont val="Tahoma"/>
            <family val="0"/>
          </rPr>
          <t>Min of:
50% of Basic+DA
Actual HRA received
Rent paid minus10%of basic+Da</t>
        </r>
      </text>
    </comment>
    <comment ref="J72" authorId="1">
      <text>
        <r>
          <rPr>
            <b/>
            <sz val="9"/>
            <rFont val="Tahoma"/>
            <family val="2"/>
          </rPr>
          <t xml:space="preserve">
Deduction in respect of Contribution to certain pension funds.
 Max.eligibility limit </t>
        </r>
        <r>
          <rPr>
            <b/>
            <sz val="9"/>
            <color indexed="10"/>
            <rFont val="Tahoma"/>
            <family val="2"/>
          </rPr>
          <t>Rs 10,000.</t>
        </r>
        <r>
          <rPr>
            <b/>
            <sz val="9"/>
            <rFont val="Tahoma"/>
            <family val="2"/>
          </rPr>
          <t xml:space="preserve">
</t>
        </r>
      </text>
    </comment>
    <comment ref="J73" authorId="1">
      <text>
        <r>
          <rPr>
            <b/>
            <sz val="9"/>
            <rFont val="Tahoma"/>
            <family val="2"/>
          </rPr>
          <t>Contribution to pension scheme for Central Government employees.</t>
        </r>
        <r>
          <rPr>
            <sz val="8"/>
            <rFont val="Tahoma"/>
            <family val="0"/>
          </rPr>
          <t xml:space="preserve">
</t>
        </r>
      </text>
    </comment>
    <comment ref="J75" authorId="0">
      <text>
        <r>
          <rPr>
            <sz val="8"/>
            <rFont val="Tahoma"/>
            <family val="0"/>
          </rPr>
          <t xml:space="preserve">Under sec 80CCF Max Rs 20000
</t>
        </r>
      </text>
    </comment>
    <comment ref="F78" authorId="1">
      <text>
        <r>
          <rPr>
            <sz val="9"/>
            <rFont val="Tahoma"/>
            <family val="2"/>
          </rPr>
          <t>Annual Interest accrued  on HBA Loan amount if Loan is taken from Deptt.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F79" authorId="1">
      <text>
        <r>
          <rPr>
            <sz val="9"/>
            <rFont val="Tahoma"/>
            <family val="2"/>
          </rPr>
          <t>Annual Interest paid If Loan is taken  from any agency other than dept.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M80" authorId="0">
      <text>
        <r>
          <rPr>
            <sz val="8"/>
            <rFont val="Tahoma"/>
            <family val="0"/>
          </rPr>
          <t>Medical Allowance in excess of</t>
        </r>
        <r>
          <rPr>
            <b/>
            <sz val="8"/>
            <color indexed="12"/>
            <rFont val="Tahoma"/>
            <family val="2"/>
          </rPr>
          <t xml:space="preserve"> Rs 15000 in a year</t>
        </r>
        <r>
          <rPr>
            <sz val="8"/>
            <rFont val="Tahoma"/>
            <family val="0"/>
          </rPr>
          <t xml:space="preserve"> is taxable.
</t>
        </r>
      </text>
    </comment>
    <comment ref="A82" authorId="0">
      <text>
        <r>
          <rPr>
            <sz val="8"/>
            <rFont val="Tahoma"/>
            <family val="0"/>
          </rPr>
          <t xml:space="preserve">Tax deducted from salary &amp; at other sourcs
</t>
        </r>
      </text>
    </comment>
    <comment ref="F83" authorId="0">
      <text>
        <r>
          <rPr>
            <sz val="8"/>
            <rFont val="Tahoma"/>
            <family val="0"/>
          </rPr>
          <t xml:space="preserve">TAX deducted at other sources Except Salary
</t>
        </r>
      </text>
    </comment>
    <comment ref="B85" authorId="1">
      <text>
        <r>
          <rPr>
            <b/>
            <sz val="10"/>
            <color indexed="12"/>
            <rFont val="Tahoma"/>
            <family val="2"/>
          </rPr>
          <t>Balance PF/NPS-TIER-I amount on 28.2.2012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86" authorId="0">
      <text>
        <r>
          <rPr>
            <sz val="8"/>
            <rFont val="Tahoma"/>
            <family val="0"/>
          </rPr>
          <t xml:space="preserve">Balance NPS tier-II amount on 28/02/2012
</t>
        </r>
      </text>
    </comment>
    <comment ref="C87" authorId="0">
      <text>
        <r>
          <rPr>
            <sz val="8"/>
            <rFont val="Tahoma"/>
            <family val="0"/>
          </rPr>
          <t xml:space="preserve">Enter Amount Of PF withdrawl during the Month
</t>
        </r>
      </text>
    </comment>
    <comment ref="O88" authorId="0">
      <text>
        <r>
          <rPr>
            <sz val="8"/>
            <rFont val="Tahoma"/>
            <family val="0"/>
          </rPr>
          <t xml:space="preserve">PF subscription 12-13/
NPS TIER-I Cummulative Balance
</t>
        </r>
      </text>
    </comment>
    <comment ref="P88" authorId="0">
      <text>
        <r>
          <rPr>
            <sz val="8"/>
            <rFont val="Tahoma"/>
            <family val="0"/>
          </rPr>
          <t xml:space="preserve">PF int.12-13/
 NPS TIER II Cummulative balance
</t>
        </r>
      </text>
    </comment>
    <comment ref="B91" authorId="1">
      <text>
        <r>
          <rPr>
            <b/>
            <sz val="9"/>
            <color indexed="12"/>
            <rFont val="Tahoma"/>
            <family val="2"/>
          </rPr>
          <t>Balance PPF amount on 01.04.2012</t>
        </r>
        <r>
          <rPr>
            <sz val="8"/>
            <rFont val="Tahoma"/>
            <family val="0"/>
          </rPr>
          <t xml:space="preserve">
</t>
        </r>
      </text>
    </comment>
    <comment ref="C91" authorId="1">
      <text>
        <r>
          <rPr>
            <sz val="8"/>
            <rFont val="Tahoma"/>
            <family val="0"/>
          </rPr>
          <t xml:space="preserve">Enter Amount deposited during the month
</t>
        </r>
      </text>
    </comment>
    <comment ref="C92" authorId="0">
      <text>
        <r>
          <rPr>
            <sz val="8"/>
            <rFont val="Tahoma"/>
            <family val="0"/>
          </rPr>
          <t xml:space="preserve">Enter Amount withdrawn
during the month
</t>
        </r>
      </text>
    </comment>
  </commentList>
</comments>
</file>

<file path=xl/sharedStrings.xml><?xml version="1.0" encoding="utf-8"?>
<sst xmlns="http://schemas.openxmlformats.org/spreadsheetml/2006/main" count="168" uniqueCount="138">
  <si>
    <r>
      <t>Notes</t>
    </r>
    <r>
      <rPr>
        <b/>
        <i/>
        <sz val="9"/>
        <color indexed="17"/>
        <rFont val="Arial"/>
        <family val="2"/>
      </rPr>
      <t>:Verify the ceiling limits of various deductions with latest IT rules</t>
    </r>
  </si>
  <si>
    <r>
      <t xml:space="preserve">All you have to do is fill in required DATA in </t>
    </r>
    <r>
      <rPr>
        <b/>
        <i/>
        <sz val="9"/>
        <color indexed="52"/>
        <rFont val="Arial"/>
        <family val="2"/>
      </rPr>
      <t>YELLOW</t>
    </r>
    <r>
      <rPr>
        <b/>
        <i/>
        <sz val="9"/>
        <color indexed="52"/>
        <rFont val="Draft 12cpi"/>
        <family val="0"/>
      </rPr>
      <t xml:space="preserve"> BOXES</t>
    </r>
    <r>
      <rPr>
        <b/>
        <i/>
        <sz val="9"/>
        <color indexed="17"/>
        <rFont val="Draft 12cpi"/>
        <family val="3"/>
      </rPr>
      <t xml:space="preserve"> only.</t>
    </r>
  </si>
  <si>
    <t xml:space="preserve">            Do not double click yellow boxes, just click once and enter the figure.</t>
  </si>
  <si>
    <r>
      <t>White  boxes AUTOMATICALLY</t>
    </r>
    <r>
      <rPr>
        <b/>
        <sz val="8"/>
        <color indexed="17"/>
        <rFont val="Arial"/>
        <family val="2"/>
      </rPr>
      <t xml:space="preserve"> calculate</t>
    </r>
  </si>
  <si>
    <t xml:space="preserve">            Do not DELETE any number,put a 0 if you want to start over.</t>
  </si>
  <si>
    <t>Be sure to save  this sheet as a blank template before you fill it out.</t>
  </si>
  <si>
    <t xml:space="preserve">NAME: </t>
  </si>
  <si>
    <t>If your template no longer works ,down load a new template.</t>
  </si>
  <si>
    <r>
      <t>In case of promotion,  fill in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0"/>
        <rFont val="Times New Roman"/>
        <family val="1"/>
      </rPr>
      <t>REVISED BAND PAY</t>
    </r>
    <r>
      <rPr>
        <b/>
        <sz val="9"/>
        <color indexed="12"/>
        <rFont val="Times New Roman"/>
        <family val="1"/>
      </rPr>
      <t xml:space="preserve"> &amp;  </t>
    </r>
    <r>
      <rPr>
        <b/>
        <sz val="9"/>
        <color indexed="10"/>
        <rFont val="Times New Roman"/>
        <family val="1"/>
      </rPr>
      <t>GRADE PAY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Arial"/>
        <family val="2"/>
      </rPr>
      <t>in respective Boxes.</t>
    </r>
  </si>
  <si>
    <t>Use blank boxes in Salary &amp; Deductions for additional heads.</t>
  </si>
  <si>
    <t>Are you an ex-cadre Teaching Faculty- REGULAR :</t>
  </si>
  <si>
    <r>
      <t>If NO-</t>
    </r>
    <r>
      <rPr>
        <b/>
        <sz val="9"/>
        <color indexed="10"/>
        <rFont val="Times New Roman"/>
        <family val="1"/>
      </rPr>
      <t xml:space="preserve"> 0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7"/>
        <rFont val="Times New Roman"/>
        <family val="1"/>
      </rPr>
      <t>, If YES</t>
    </r>
    <r>
      <rPr>
        <b/>
        <sz val="8"/>
        <color indexed="12"/>
        <rFont val="Times New Roman"/>
        <family val="1"/>
      </rPr>
      <t xml:space="preserve"> - </t>
    </r>
    <r>
      <rPr>
        <b/>
        <sz val="9"/>
        <color indexed="10"/>
        <rFont val="Times New Roman"/>
        <family val="1"/>
      </rPr>
      <t>1</t>
    </r>
    <r>
      <rPr>
        <b/>
        <sz val="8"/>
        <color indexed="10"/>
        <rFont val="Times New Roman"/>
        <family val="1"/>
      </rPr>
      <t xml:space="preserve">  </t>
    </r>
    <r>
      <rPr>
        <b/>
        <sz val="8"/>
        <color indexed="12"/>
        <rFont val="Times New Roman"/>
        <family val="1"/>
      </rPr>
      <t xml:space="preserve">for Centralised Institute, </t>
    </r>
    <r>
      <rPr>
        <b/>
        <sz val="8"/>
        <color indexed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2</t>
    </r>
    <r>
      <rPr>
        <b/>
        <sz val="8"/>
        <color indexed="10"/>
        <rFont val="Times New Roman"/>
        <family val="1"/>
      </rPr>
      <t xml:space="preserve">  </t>
    </r>
    <r>
      <rPr>
        <b/>
        <sz val="8"/>
        <color indexed="12"/>
        <rFont val="Times New Roman"/>
        <family val="1"/>
      </rPr>
      <t>for other Institute</t>
    </r>
  </si>
  <si>
    <t>Are you a Medical Officer:</t>
  </si>
  <si>
    <r>
      <t>SALARY</t>
    </r>
    <r>
      <rPr>
        <sz val="10"/>
        <color indexed="10"/>
        <rFont val="Arial"/>
        <family val="2"/>
      </rPr>
      <t xml:space="preserve"> </t>
    </r>
  </si>
  <si>
    <t>TOTAL</t>
  </si>
  <si>
    <t>Band Pay</t>
  </si>
  <si>
    <t>Grade Pay</t>
  </si>
  <si>
    <t>Personal Pay.</t>
  </si>
  <si>
    <t>D.A.(%)</t>
  </si>
  <si>
    <t>D.A.(amount)</t>
  </si>
  <si>
    <t>HRA</t>
  </si>
  <si>
    <t>Children Edu Allow</t>
  </si>
  <si>
    <t>Running Allowance</t>
  </si>
  <si>
    <t>Nightduty Allowance</t>
  </si>
  <si>
    <t>Overtime Allowance</t>
  </si>
  <si>
    <t>Total Taxable Salary</t>
  </si>
  <si>
    <t>Transport.Allowance</t>
  </si>
  <si>
    <t>T.A./ D.A.</t>
  </si>
  <si>
    <t>Teaching Allowance</t>
  </si>
  <si>
    <t>Medical Allowance</t>
  </si>
  <si>
    <t>NonTaxable Salary</t>
  </si>
  <si>
    <t>TOTAL SALARY</t>
  </si>
  <si>
    <t>Arrears / Bonus</t>
  </si>
  <si>
    <t>GROSS SALARY</t>
  </si>
  <si>
    <t>DEDUCTIONS</t>
  </si>
  <si>
    <t>Income Tax</t>
  </si>
  <si>
    <t>Profession Tax.</t>
  </si>
  <si>
    <t>Welfare</t>
  </si>
  <si>
    <t>HBA-Principal</t>
  </si>
  <si>
    <t xml:space="preserve">HBA-Interest </t>
  </si>
  <si>
    <t>Festival Advance</t>
  </si>
  <si>
    <t>Society Loan</t>
  </si>
  <si>
    <t>Society CTD</t>
  </si>
  <si>
    <t>Society Savings Bank</t>
  </si>
  <si>
    <t>House rent</t>
  </si>
  <si>
    <t>Total Deductions</t>
  </si>
  <si>
    <t>NET PAY</t>
  </si>
  <si>
    <t>ADMISSIBLE DEDUCTIONS</t>
  </si>
  <si>
    <t>SCH-VI</t>
  </si>
  <si>
    <t>Amount</t>
  </si>
  <si>
    <t>Eligible Amt</t>
  </si>
  <si>
    <t>Taxable Tran. Allowance</t>
  </si>
  <si>
    <t>SEC 80D</t>
  </si>
  <si>
    <r>
      <t>Sec 80C</t>
    </r>
    <r>
      <rPr>
        <b/>
        <sz val="8"/>
        <color indexed="12"/>
        <rFont val="Arial"/>
        <family val="2"/>
      </rPr>
      <t xml:space="preserve"> - PPF</t>
    </r>
  </si>
  <si>
    <t>Other Income</t>
  </si>
  <si>
    <t>SEC 80DD</t>
  </si>
  <si>
    <t xml:space="preserve"> LIC</t>
  </si>
  <si>
    <t>Gross Taxable Income</t>
  </si>
  <si>
    <t>SEC 80DDB</t>
  </si>
  <si>
    <t>Tuition Fees</t>
  </si>
  <si>
    <t>Ded80C-From Salary</t>
  </si>
  <si>
    <t>SEC 80E</t>
  </si>
  <si>
    <t>NSS</t>
  </si>
  <si>
    <t>Ded80C-Other</t>
  </si>
  <si>
    <t>SEC 80G</t>
  </si>
  <si>
    <r>
      <t>HBA</t>
    </r>
    <r>
      <rPr>
        <b/>
        <sz val="8"/>
        <color indexed="17"/>
        <rFont val="Arial"/>
        <family val="2"/>
      </rPr>
      <t>(Other than SALARY)</t>
    </r>
  </si>
  <si>
    <t>Ded-Admissible 80C</t>
  </si>
  <si>
    <t>SEC 80 GG</t>
  </si>
  <si>
    <t>Equity Linked  Saving Scheme</t>
  </si>
  <si>
    <t>SEC 80 GGA</t>
  </si>
  <si>
    <t>Bank FD</t>
  </si>
  <si>
    <t>HBA Int-other Loan</t>
  </si>
  <si>
    <t>SEC 80GGC</t>
  </si>
  <si>
    <t>Post Office Term Deposit</t>
  </si>
  <si>
    <t>HBA Int.- Deptt.Loan</t>
  </si>
  <si>
    <t>SEC 80 U</t>
  </si>
  <si>
    <t>UTI / ULIP / PLI</t>
  </si>
  <si>
    <t>Ded-Chapter VI</t>
  </si>
  <si>
    <t>SEC 80CCC</t>
  </si>
  <si>
    <t>Net Taxable Income</t>
  </si>
  <si>
    <t>SEC 80CCD</t>
  </si>
  <si>
    <t>Eligible Deductions-Sec80C</t>
  </si>
  <si>
    <t>Infrastructure Bond</t>
  </si>
  <si>
    <t xml:space="preserve">                TOTAL</t>
  </si>
  <si>
    <t>HBA LOAN INTEREST</t>
  </si>
  <si>
    <t>OTHER TAXABLE  INCOME</t>
  </si>
  <si>
    <t>LOAN from Deptt.</t>
  </si>
  <si>
    <t>Income from INTEREST</t>
  </si>
  <si>
    <t>Total Tax</t>
  </si>
  <si>
    <t>LOAN from others</t>
  </si>
  <si>
    <t>OTHER INCOME</t>
  </si>
  <si>
    <t>Edu. cess-3%</t>
  </si>
  <si>
    <t>Tax  Payable</t>
  </si>
  <si>
    <t>Tax paid</t>
  </si>
  <si>
    <t>TAX deducted at Source</t>
  </si>
  <si>
    <t>Deposit</t>
  </si>
  <si>
    <t>PPF Withdrawl</t>
  </si>
  <si>
    <t>PPF Balance</t>
  </si>
  <si>
    <r>
      <t xml:space="preserve">Developed by: </t>
    </r>
    <r>
      <rPr>
        <b/>
        <sz val="11"/>
        <color indexed="60"/>
        <rFont val="Arial"/>
        <family val="2"/>
      </rPr>
      <t>Lalit Khandelwal</t>
    </r>
    <r>
      <rPr>
        <b/>
        <sz val="10"/>
        <color indexed="6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   e-mail ID</t>
    </r>
    <r>
      <rPr>
        <b/>
        <sz val="10"/>
        <color indexed="17"/>
        <rFont val="Arial"/>
        <family val="2"/>
      </rPr>
      <t>: lalit_kh@rediffmail.com</t>
    </r>
  </si>
  <si>
    <t xml:space="preserve">    </t>
  </si>
  <si>
    <t>website: www.irtsa.net</t>
  </si>
  <si>
    <r>
      <t xml:space="preserve">For Transportation Allowance :                                                 </t>
    </r>
    <r>
      <rPr>
        <b/>
        <sz val="10"/>
        <color indexed="10"/>
        <rFont val="Arial"/>
        <family val="2"/>
      </rPr>
      <t>1</t>
    </r>
    <r>
      <rPr>
        <b/>
        <sz val="8"/>
        <color indexed="10"/>
        <rFont val="Arial"/>
        <family val="2"/>
      </rPr>
      <t xml:space="preserve"> - </t>
    </r>
    <r>
      <rPr>
        <b/>
        <sz val="8"/>
        <color indexed="12"/>
        <rFont val="Arial"/>
        <family val="2"/>
      </rPr>
      <t xml:space="preserve">For A1 /A Class cities , </t>
    </r>
    <r>
      <rPr>
        <b/>
        <sz val="10"/>
        <color indexed="10"/>
        <rFont val="Arial"/>
        <family val="2"/>
      </rPr>
      <t xml:space="preserve"> 2</t>
    </r>
    <r>
      <rPr>
        <b/>
        <sz val="8"/>
        <color indexed="10"/>
        <rFont val="Arial"/>
        <family val="2"/>
      </rPr>
      <t xml:space="preserve"> - </t>
    </r>
    <r>
      <rPr>
        <b/>
        <sz val="8"/>
        <color indexed="12"/>
        <rFont val="Arial"/>
        <family val="2"/>
      </rPr>
      <t>For other cities.</t>
    </r>
  </si>
  <si>
    <t>Bal FEB'12</t>
  </si>
  <si>
    <t>MAR'12</t>
  </si>
  <si>
    <t>Bal MAR'12</t>
  </si>
  <si>
    <r>
      <t>For HRA</t>
    </r>
    <r>
      <rPr>
        <b/>
        <sz val="8"/>
        <color indexed="12"/>
        <rFont val="Times New Roman"/>
        <family val="1"/>
      </rPr>
      <t xml:space="preserve"> : </t>
    </r>
    <r>
      <rPr>
        <b/>
        <sz val="9"/>
        <color indexed="12"/>
        <rFont val="Times New Roman"/>
        <family val="1"/>
      </rPr>
      <t>Are you allotted a Govt. accommodation</t>
    </r>
    <r>
      <rPr>
        <b/>
        <sz val="8"/>
        <color indexed="12"/>
        <rFont val="Times New Roman"/>
        <family val="1"/>
      </rPr>
      <t xml:space="preserve">-                 </t>
    </r>
    <r>
      <rPr>
        <b/>
        <sz val="8"/>
        <color indexed="17"/>
        <rFont val="Times New Roman"/>
        <family val="1"/>
      </rPr>
      <t>If YES</t>
    </r>
    <r>
      <rPr>
        <b/>
        <sz val="8"/>
        <color indexed="12"/>
        <rFont val="Times New Roman"/>
        <family val="1"/>
      </rPr>
      <t xml:space="preserve">-    </t>
    </r>
    <r>
      <rPr>
        <b/>
        <sz val="8"/>
        <color indexed="10"/>
        <rFont val="Times New Roman"/>
        <family val="1"/>
      </rPr>
      <t>0</t>
    </r>
    <r>
      <rPr>
        <b/>
        <sz val="8"/>
        <color indexed="12"/>
        <rFont val="Times New Roman"/>
        <family val="1"/>
      </rPr>
      <t xml:space="preserve">, </t>
    </r>
    <r>
      <rPr>
        <b/>
        <sz val="8"/>
        <color indexed="17"/>
        <rFont val="Times New Roman"/>
        <family val="1"/>
      </rPr>
      <t xml:space="preserve">If NO </t>
    </r>
    <r>
      <rPr>
        <b/>
        <sz val="8"/>
        <color indexed="12"/>
        <rFont val="Times New Roman"/>
        <family val="1"/>
      </rPr>
      <t xml:space="preserve">- </t>
    </r>
    <r>
      <rPr>
        <b/>
        <sz val="8"/>
        <color indexed="10"/>
        <rFont val="Times New Roman"/>
        <family val="1"/>
      </rPr>
      <t xml:space="preserve">1  </t>
    </r>
    <r>
      <rPr>
        <b/>
        <sz val="8"/>
        <color indexed="12"/>
        <rFont val="Times New Roman"/>
        <family val="1"/>
      </rPr>
      <t xml:space="preserve">for X (A1) class, </t>
    </r>
    <r>
      <rPr>
        <b/>
        <sz val="8"/>
        <color indexed="10"/>
        <rFont val="Times New Roman"/>
        <family val="1"/>
      </rPr>
      <t xml:space="preserve">2  </t>
    </r>
    <r>
      <rPr>
        <b/>
        <sz val="8"/>
        <color indexed="12"/>
        <rFont val="Times New Roman"/>
        <family val="1"/>
      </rPr>
      <t xml:space="preserve">for Y (A,B1,B2) class &amp; </t>
    </r>
    <r>
      <rPr>
        <b/>
        <sz val="8"/>
        <color indexed="10"/>
        <rFont val="Times New Roman"/>
        <family val="1"/>
      </rPr>
      <t xml:space="preserve">3 </t>
    </r>
    <r>
      <rPr>
        <b/>
        <sz val="8"/>
        <color indexed="12"/>
        <rFont val="Times New Roman"/>
        <family val="1"/>
      </rPr>
      <t xml:space="preserve"> for Z (C/other) class cities. </t>
    </r>
  </si>
  <si>
    <r>
      <t xml:space="preserve">Below </t>
    </r>
    <r>
      <rPr>
        <b/>
        <sz val="9"/>
        <color indexed="10"/>
        <rFont val="Arial"/>
        <family val="2"/>
      </rPr>
      <t>60</t>
    </r>
    <r>
      <rPr>
        <b/>
        <sz val="9"/>
        <color indexed="12"/>
        <rFont val="Arial"/>
        <family val="2"/>
      </rPr>
      <t xml:space="preserve"> Years</t>
    </r>
  </si>
  <si>
    <t xml:space="preserve">Arrears </t>
  </si>
  <si>
    <t>NPA (For DOC'S)</t>
  </si>
  <si>
    <t>Tax due</t>
  </si>
  <si>
    <t xml:space="preserve">                Total Other income</t>
  </si>
  <si>
    <t>APR'12</t>
  </si>
  <si>
    <t>MAY'12</t>
  </si>
  <si>
    <t>JUN'12</t>
  </si>
  <si>
    <t>JUL'12</t>
  </si>
  <si>
    <t>AUG'12</t>
  </si>
  <si>
    <t>SEP'12</t>
  </si>
  <si>
    <t>OCT'12</t>
  </si>
  <si>
    <t>NOV'12</t>
  </si>
  <si>
    <t>DEC'12</t>
  </si>
  <si>
    <t>JAN'13</t>
  </si>
  <si>
    <t>FEB'13</t>
  </si>
  <si>
    <t>MAR'13</t>
  </si>
  <si>
    <t>Sub'12-13</t>
  </si>
  <si>
    <t>INT.12-13</t>
  </si>
  <si>
    <t>Bal MAR'13</t>
  </si>
  <si>
    <r>
      <t>If NO -</t>
    </r>
    <r>
      <rPr>
        <b/>
        <sz val="10"/>
        <color indexed="10"/>
        <rFont val="Arial"/>
        <family val="2"/>
      </rPr>
      <t xml:space="preserve"> 0</t>
    </r>
    <r>
      <rPr>
        <b/>
        <sz val="10"/>
        <color indexed="17"/>
        <rFont val="Arial"/>
        <family val="2"/>
      </rPr>
      <t xml:space="preserve"> , If YES - </t>
    </r>
    <r>
      <rPr>
        <b/>
        <sz val="10"/>
        <color indexed="10"/>
        <rFont val="Arial"/>
        <family val="2"/>
      </rPr>
      <t xml:space="preserve">1 </t>
    </r>
  </si>
  <si>
    <t>PPF RECORD</t>
  </si>
  <si>
    <t>Is your Date of Appointment after 01/01/2004</t>
  </si>
  <si>
    <t>INCOME</t>
  </si>
  <si>
    <t xml:space="preserve">UP TO Rs200000 </t>
  </si>
  <si>
    <t xml:space="preserve">  Income Tax </t>
  </si>
  <si>
    <t>Above Rs1000000</t>
  </si>
  <si>
    <t>Rs 500001-Rs1000000</t>
  </si>
  <si>
    <t>Rs200001-Rs500000</t>
  </si>
  <si>
    <r>
      <t xml:space="preserve"> If YES - 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7"/>
        <rFont val="Times New Roman"/>
        <family val="1"/>
      </rPr>
      <t xml:space="preserve"> .If NO - </t>
    </r>
    <r>
      <rPr>
        <b/>
        <sz val="10"/>
        <color indexed="10"/>
        <rFont val="Times New Roman"/>
        <family val="1"/>
      </rPr>
      <t>2</t>
    </r>
    <r>
      <rPr>
        <b/>
        <sz val="8"/>
        <color indexed="17"/>
        <rFont val="Times New Roman"/>
        <family val="1"/>
      </rPr>
      <t xml:space="preserve"> .</t>
    </r>
  </si>
  <si>
    <r>
      <t xml:space="preserve">Leave Encash. / </t>
    </r>
    <r>
      <rPr>
        <b/>
        <sz val="8"/>
        <color indexed="17"/>
        <rFont val="Arial"/>
        <family val="2"/>
      </rPr>
      <t>NHA</t>
    </r>
  </si>
  <si>
    <r>
      <t>SALARY &amp; INCOME TAX - F.Y. 2012-13</t>
    </r>
    <r>
      <rPr>
        <b/>
        <sz val="12"/>
        <color indexed="16"/>
        <rFont val="Arial"/>
        <family val="2"/>
      </rPr>
      <t>(For Central Govt.Employees)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</si>
</sst>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</numFmts>
  <fonts count="64">
    <font>
      <sz val="10"/>
      <name val="Arial"/>
      <family val="0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i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i/>
      <sz val="9"/>
      <color indexed="52"/>
      <name val="Arial"/>
      <family val="2"/>
    </font>
    <font>
      <b/>
      <i/>
      <sz val="9"/>
      <color indexed="52"/>
      <name val="Draft 12cpi"/>
      <family val="0"/>
    </font>
    <font>
      <b/>
      <i/>
      <sz val="9"/>
      <color indexed="17"/>
      <name val="Draft 12cpi"/>
      <family val="3"/>
    </font>
    <font>
      <b/>
      <sz val="9"/>
      <color indexed="17"/>
      <name val="Arial"/>
      <family val="0"/>
    </font>
    <font>
      <b/>
      <sz val="9"/>
      <color indexed="12"/>
      <name val="Arial"/>
      <family val="2"/>
    </font>
    <font>
      <b/>
      <sz val="9"/>
      <color indexed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7"/>
      <name val="Times New Roman"/>
      <family val="1"/>
    </font>
    <font>
      <sz val="10"/>
      <color indexed="10"/>
      <name val="Arial"/>
      <family val="2"/>
    </font>
    <font>
      <b/>
      <sz val="9"/>
      <color indexed="14"/>
      <name val="Arial"/>
      <family val="2"/>
    </font>
    <font>
      <b/>
      <sz val="7"/>
      <color indexed="12"/>
      <name val="Arial"/>
      <family val="2"/>
    </font>
    <font>
      <b/>
      <sz val="8"/>
      <color indexed="48"/>
      <name val="Arial"/>
      <family val="2"/>
    </font>
    <font>
      <b/>
      <sz val="9"/>
      <color indexed="56"/>
      <name val="Comic Sans MS"/>
      <family val="4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color indexed="18"/>
      <name val="Arial"/>
      <family val="2"/>
    </font>
    <font>
      <b/>
      <sz val="7"/>
      <color indexed="10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9"/>
      <color indexed="12"/>
      <name val="Tahoma"/>
      <family val="2"/>
    </font>
    <font>
      <sz val="8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6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indexed="53"/>
      <name val="Times New Roman"/>
      <family val="1"/>
    </font>
    <font>
      <b/>
      <sz val="9"/>
      <color indexed="14"/>
      <name val="Century Gothic"/>
      <family val="2"/>
    </font>
    <font>
      <b/>
      <sz val="10"/>
      <color indexed="10"/>
      <name val="Times New Roman"/>
      <family val="1"/>
    </font>
    <font>
      <b/>
      <sz val="12"/>
      <color indexed="16"/>
      <name val="Arial"/>
      <family val="2"/>
    </font>
    <font>
      <b/>
      <sz val="9"/>
      <color indexed="12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" fontId="15" fillId="2" borderId="9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right" vertical="center"/>
    </xf>
    <xf numFmtId="1" fontId="10" fillId="3" borderId="9" xfId="0" applyNumberFormat="1" applyFont="1" applyFill="1" applyBorder="1" applyAlignment="1">
      <alignment horizontal="right" vertical="center"/>
    </xf>
    <xf numFmtId="1" fontId="0" fillId="0" borderId="2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3" fontId="12" fillId="4" borderId="9" xfId="0" applyNumberFormat="1" applyFont="1" applyFill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2" fontId="26" fillId="0" borderId="11" xfId="0" applyNumberFormat="1" applyFont="1" applyBorder="1" applyAlignment="1">
      <alignment horizontal="right" vertical="center"/>
    </xf>
    <xf numFmtId="2" fontId="27" fillId="0" borderId="12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4" borderId="9" xfId="0" applyFont="1" applyFill="1" applyBorder="1" applyAlignment="1">
      <alignment horizontal="left" vertical="center"/>
    </xf>
    <xf numFmtId="0" fontId="32" fillId="4" borderId="9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10" fillId="0" borderId="9" xfId="0" applyNumberFormat="1" applyFont="1" applyBorder="1" applyAlignment="1">
      <alignment horizontal="right" vertical="center"/>
    </xf>
    <xf numFmtId="1" fontId="2" fillId="5" borderId="9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35" fillId="6" borderId="10" xfId="0" applyFont="1" applyFill="1" applyBorder="1" applyAlignment="1">
      <alignment vertical="center"/>
    </xf>
    <xf numFmtId="0" fontId="36" fillId="6" borderId="12" xfId="0" applyFont="1" applyFill="1" applyBorder="1" applyAlignment="1">
      <alignment vertical="center"/>
    </xf>
    <xf numFmtId="1" fontId="35" fillId="6" borderId="9" xfId="0" applyNumberFormat="1" applyFont="1" applyFill="1" applyBorder="1" applyAlignment="1">
      <alignment horizontal="right" vertical="center"/>
    </xf>
    <xf numFmtId="0" fontId="33" fillId="0" borderId="9" xfId="0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3" fontId="15" fillId="2" borderId="9" xfId="0" applyNumberFormat="1" applyFont="1" applyFill="1" applyBorder="1" applyAlignment="1">
      <alignment horizontal="left" vertical="center"/>
    </xf>
    <xf numFmtId="3" fontId="38" fillId="2" borderId="12" xfId="0" applyNumberFormat="1" applyFont="1" applyFill="1" applyBorder="1" applyAlignment="1">
      <alignment horizontal="left" vertical="center"/>
    </xf>
    <xf numFmtId="3" fontId="10" fillId="0" borderId="15" xfId="0" applyNumberFormat="1" applyFont="1" applyBorder="1" applyAlignment="1">
      <alignment horizontal="left" vertical="center"/>
    </xf>
    <xf numFmtId="0" fontId="26" fillId="0" borderId="16" xfId="0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left" vertical="center"/>
    </xf>
    <xf numFmtId="3" fontId="25" fillId="0" borderId="15" xfId="0" applyNumberFormat="1" applyFont="1" applyFill="1" applyBorder="1" applyAlignment="1">
      <alignment horizontal="left" vertical="center"/>
    </xf>
    <xf numFmtId="3" fontId="38" fillId="2" borderId="9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horizontal="right" vertical="center"/>
    </xf>
    <xf numFmtId="1" fontId="1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center"/>
    </xf>
    <xf numFmtId="3" fontId="57" fillId="2" borderId="23" xfId="0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21" fillId="5" borderId="9" xfId="0" applyNumberFormat="1" applyFont="1" applyFill="1" applyBorder="1" applyAlignment="1">
      <alignment horizontal="center" vertical="center"/>
    </xf>
    <xf numFmtId="0" fontId="9" fillId="5" borderId="9" xfId="0" applyNumberFormat="1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43" fontId="5" fillId="0" borderId="1" xfId="15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0" fillId="3" borderId="15" xfId="0" applyFont="1" applyFill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7" borderId="9" xfId="0" applyNumberFormat="1" applyFont="1" applyFill="1" applyBorder="1" applyAlignment="1" applyProtection="1">
      <alignment horizontal="right" vertical="center"/>
      <protection hidden="1"/>
    </xf>
    <xf numFmtId="3" fontId="10" fillId="3" borderId="9" xfId="0" applyNumberFormat="1" applyFont="1" applyFill="1" applyBorder="1" applyAlignment="1" applyProtection="1">
      <alignment horizontal="right" vertical="center"/>
      <protection hidden="1"/>
    </xf>
    <xf numFmtId="1" fontId="10" fillId="3" borderId="9" xfId="0" applyNumberFormat="1" applyFont="1" applyFill="1" applyBorder="1" applyAlignment="1" applyProtection="1">
      <alignment horizontal="right" vertical="center"/>
      <protection hidden="1"/>
    </xf>
    <xf numFmtId="3" fontId="10" fillId="4" borderId="9" xfId="0" applyNumberFormat="1" applyFont="1" applyFill="1" applyBorder="1" applyAlignment="1" applyProtection="1">
      <alignment horizontal="right" vertical="center"/>
      <protection hidden="1"/>
    </xf>
    <xf numFmtId="1" fontId="10" fillId="7" borderId="9" xfId="0" applyNumberFormat="1" applyFont="1" applyFill="1" applyBorder="1" applyAlignment="1" applyProtection="1">
      <alignment horizontal="right" vertical="center"/>
      <protection hidden="1"/>
    </xf>
    <xf numFmtId="1" fontId="2" fillId="0" borderId="9" xfId="0" applyNumberFormat="1" applyFont="1" applyFill="1" applyBorder="1" applyAlignment="1" applyProtection="1">
      <alignment horizontal="right" vertical="center"/>
      <protection hidden="1"/>
    </xf>
    <xf numFmtId="3" fontId="10" fillId="0" borderId="9" xfId="0" applyNumberFormat="1" applyFont="1" applyFill="1" applyBorder="1" applyAlignment="1" applyProtection="1">
      <alignment horizontal="right" vertical="center"/>
      <protection hidden="1"/>
    </xf>
    <xf numFmtId="3" fontId="12" fillId="4" borderId="9" xfId="0" applyNumberFormat="1" applyFont="1" applyFill="1" applyBorder="1" applyAlignment="1" applyProtection="1">
      <alignment horizontal="right" vertical="center"/>
      <protection hidden="1"/>
    </xf>
    <xf numFmtId="1" fontId="2" fillId="3" borderId="9" xfId="0" applyNumberFormat="1" applyFont="1" applyFill="1" applyBorder="1" applyAlignment="1" applyProtection="1">
      <alignment horizontal="right" vertical="center"/>
      <protection hidden="1"/>
    </xf>
    <xf numFmtId="3" fontId="10" fillId="4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9" xfId="0" applyNumberFormat="1" applyFont="1" applyBorder="1" applyAlignment="1" applyProtection="1">
      <alignment horizontal="right" vertical="center"/>
      <protection hidden="1"/>
    </xf>
    <xf numFmtId="3" fontId="2" fillId="5" borderId="9" xfId="0" applyNumberFormat="1" applyFont="1" applyFill="1" applyBorder="1" applyAlignment="1" applyProtection="1">
      <alignment horizontal="right" vertical="center"/>
      <protection hidden="1"/>
    </xf>
    <xf numFmtId="1" fontId="2" fillId="5" borderId="9" xfId="0" applyNumberFormat="1" applyFont="1" applyFill="1" applyBorder="1" applyAlignment="1" applyProtection="1">
      <alignment horizontal="right" vertical="center"/>
      <protection hidden="1"/>
    </xf>
    <xf numFmtId="3" fontId="10" fillId="5" borderId="24" xfId="0" applyNumberFormat="1" applyFont="1" applyFill="1" applyBorder="1" applyAlignment="1" applyProtection="1">
      <alignment horizontal="right" vertical="center"/>
      <protection hidden="1"/>
    </xf>
    <xf numFmtId="1" fontId="10" fillId="0" borderId="9" xfId="0" applyNumberFormat="1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3" fontId="10" fillId="0" borderId="9" xfId="0" applyNumberFormat="1" applyFont="1" applyBorder="1" applyAlignment="1" applyProtection="1">
      <alignment horizontal="right" vertical="center"/>
      <protection hidden="1"/>
    </xf>
    <xf numFmtId="3" fontId="37" fillId="5" borderId="9" xfId="0" applyNumberFormat="1" applyFont="1" applyFill="1" applyBorder="1" applyAlignment="1" applyProtection="1">
      <alignment horizontal="right" vertical="center"/>
      <protection hidden="1"/>
    </xf>
    <xf numFmtId="3" fontId="0" fillId="0" borderId="24" xfId="0" applyNumberFormat="1" applyFont="1" applyBorder="1" applyAlignment="1" applyProtection="1">
      <alignment horizontal="left" vertical="center"/>
      <protection hidden="1"/>
    </xf>
    <xf numFmtId="3" fontId="10" fillId="5" borderId="24" xfId="0" applyNumberFormat="1" applyFont="1" applyFill="1" applyBorder="1" applyAlignment="1" applyProtection="1">
      <alignment horizontal="center" vertical="center"/>
      <protection hidden="1"/>
    </xf>
    <xf numFmtId="3" fontId="57" fillId="2" borderId="23" xfId="0" applyNumberFormat="1" applyFont="1" applyFill="1" applyBorder="1" applyAlignment="1" applyProtection="1">
      <alignment horizontal="left" vertical="center"/>
      <protection hidden="1"/>
    </xf>
    <xf numFmtId="0" fontId="33" fillId="0" borderId="9" xfId="0" applyFont="1" applyBorder="1" applyAlignment="1" applyProtection="1">
      <alignment horizontal="right" vertical="center"/>
      <protection hidden="1"/>
    </xf>
    <xf numFmtId="0" fontId="16" fillId="2" borderId="9" xfId="0" applyFont="1" applyFill="1" applyBorder="1" applyAlignment="1" applyProtection="1">
      <alignment horizontal="left" vertical="center"/>
      <protection locked="0"/>
    </xf>
    <xf numFmtId="1" fontId="15" fillId="2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hidden="1" locked="0"/>
    </xf>
    <xf numFmtId="1" fontId="2" fillId="3" borderId="9" xfId="0" applyNumberFormat="1" applyFont="1" applyFill="1" applyBorder="1" applyAlignment="1" applyProtection="1">
      <alignment horizontal="right" vertical="center"/>
      <protection hidden="1" locked="0"/>
    </xf>
    <xf numFmtId="1" fontId="15" fillId="2" borderId="25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Border="1" applyAlignment="1" applyProtection="1">
      <alignment horizontal="right" vertical="center"/>
      <protection locked="0"/>
    </xf>
    <xf numFmtId="1" fontId="4" fillId="0" borderId="9" xfId="0" applyNumberFormat="1" applyFont="1" applyBorder="1" applyAlignment="1" applyProtection="1">
      <alignment horizontal="right" vertical="center"/>
      <protection locked="0"/>
    </xf>
    <xf numFmtId="3" fontId="25" fillId="2" borderId="9" xfId="0" applyNumberFormat="1" applyFont="1" applyFill="1" applyBorder="1" applyAlignment="1" applyProtection="1">
      <alignment horizontal="right" vertical="center"/>
      <protection locked="0"/>
    </xf>
    <xf numFmtId="0" fontId="25" fillId="2" borderId="9" xfId="0" applyFont="1" applyFill="1" applyBorder="1" applyAlignment="1" applyProtection="1">
      <alignment horizontal="right" vertical="center"/>
      <protection locked="0"/>
    </xf>
    <xf numFmtId="1" fontId="16" fillId="2" borderId="9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8" xfId="0" applyFont="1" applyBorder="1" applyAlignment="1">
      <alignment horizontal="left" vertical="center"/>
    </xf>
    <xf numFmtId="0" fontId="16" fillId="2" borderId="6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1" xfId="0" applyBorder="1" applyAlignment="1">
      <alignment/>
    </xf>
    <xf numFmtId="3" fontId="10" fillId="0" borderId="0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9" fillId="7" borderId="10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44" fontId="10" fillId="0" borderId="10" xfId="17" applyFont="1" applyBorder="1" applyAlignment="1">
      <alignment horizontal="center" vertical="center"/>
    </xf>
    <xf numFmtId="44" fontId="10" fillId="0" borderId="12" xfId="17" applyFont="1" applyBorder="1" applyAlignment="1">
      <alignment horizontal="center" vertical="center"/>
    </xf>
    <xf numFmtId="0" fontId="58" fillId="0" borderId="11" xfId="0" applyFont="1" applyBorder="1" applyAlignment="1" applyProtection="1">
      <alignment horizontal="center"/>
      <protection hidden="1"/>
    </xf>
    <xf numFmtId="0" fontId="58" fillId="0" borderId="12" xfId="0" applyFont="1" applyBorder="1" applyAlignment="1" applyProtection="1">
      <alignment horizontal="center"/>
      <protection hidden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7" fillId="0" borderId="3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0" fontId="23" fillId="0" borderId="30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4" fillId="5" borderId="30" xfId="0" applyFont="1" applyFill="1" applyBorder="1" applyAlignment="1">
      <alignment horizontal="left" vertical="center"/>
    </xf>
    <xf numFmtId="0" fontId="24" fillId="5" borderId="12" xfId="0" applyFont="1" applyFill="1" applyBorder="1" applyAlignment="1">
      <alignment horizontal="left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" fontId="25" fillId="0" borderId="30" xfId="0" applyNumberFormat="1" applyFont="1" applyFill="1" applyBorder="1" applyAlignment="1">
      <alignment horizontal="left" vertical="center"/>
    </xf>
    <xf numFmtId="1" fontId="25" fillId="0" borderId="12" xfId="0" applyNumberFormat="1" applyFont="1" applyFill="1" applyBorder="1" applyAlignment="1">
      <alignment horizontal="left" vertical="center"/>
    </xf>
    <xf numFmtId="1" fontId="16" fillId="4" borderId="30" xfId="0" applyNumberFormat="1" applyFont="1" applyFill="1" applyBorder="1" applyAlignment="1">
      <alignment horizontal="left" vertical="center"/>
    </xf>
    <xf numFmtId="1" fontId="16" fillId="4" borderId="12" xfId="0" applyNumberFormat="1" applyFont="1" applyFill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8" fillId="3" borderId="30" xfId="0" applyFont="1" applyFill="1" applyBorder="1" applyAlignment="1">
      <alignment horizontal="left" vertical="center"/>
    </xf>
    <xf numFmtId="0" fontId="28" fillId="3" borderId="12" xfId="0" applyFont="1" applyFill="1" applyBorder="1" applyAlignment="1">
      <alignment horizontal="left" vertical="center"/>
    </xf>
    <xf numFmtId="1" fontId="25" fillId="4" borderId="30" xfId="0" applyNumberFormat="1" applyFont="1" applyFill="1" applyBorder="1" applyAlignment="1">
      <alignment horizontal="left" vertical="center"/>
    </xf>
    <xf numFmtId="1" fontId="25" fillId="4" borderId="12" xfId="0" applyNumberFormat="1" applyFont="1" applyFill="1" applyBorder="1" applyAlignment="1">
      <alignment horizontal="left" vertical="center"/>
    </xf>
    <xf numFmtId="0" fontId="16" fillId="8" borderId="12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30" fillId="4" borderId="10" xfId="0" applyFont="1" applyFill="1" applyBorder="1" applyAlignment="1">
      <alignment horizontal="left" vertical="center"/>
    </xf>
    <xf numFmtId="0" fontId="30" fillId="4" borderId="12" xfId="0" applyFont="1" applyFill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4" fillId="5" borderId="11" xfId="0" applyFont="1" applyFill="1" applyBorder="1" applyAlignment="1">
      <alignment horizontal="right" vertical="center"/>
    </xf>
    <xf numFmtId="0" fontId="4" fillId="5" borderId="12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horizontal="center" vertical="center"/>
    </xf>
    <xf numFmtId="0" fontId="35" fillId="6" borderId="12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33" fillId="0" borderId="10" xfId="0" applyFont="1" applyBorder="1" applyAlignment="1" applyProtection="1">
      <alignment horizontal="left" vertical="center"/>
      <protection locked="0"/>
    </xf>
    <xf numFmtId="0" fontId="33" fillId="0" borderId="11" xfId="0" applyFont="1" applyBorder="1" applyAlignment="1" applyProtection="1">
      <alignment horizontal="left" vertical="center"/>
      <protection locked="0"/>
    </xf>
    <xf numFmtId="0" fontId="33" fillId="0" borderId="12" xfId="0" applyFont="1" applyBorder="1" applyAlignment="1" applyProtection="1">
      <alignment horizontal="left" vertical="center"/>
      <protection locked="0"/>
    </xf>
    <xf numFmtId="0" fontId="16" fillId="8" borderId="30" xfId="0" applyFont="1" applyFill="1" applyBorder="1" applyAlignment="1">
      <alignment horizontal="left" vertical="center"/>
    </xf>
    <xf numFmtId="0" fontId="16" fillId="8" borderId="11" xfId="0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3" fontId="10" fillId="0" borderId="30" xfId="0" applyNumberFormat="1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0" fontId="42" fillId="9" borderId="21" xfId="0" applyFont="1" applyFill="1" applyBorder="1" applyAlignment="1">
      <alignment horizontal="center"/>
    </xf>
    <xf numFmtId="0" fontId="21" fillId="3" borderId="30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" fillId="5" borderId="32" xfId="0" applyFont="1" applyFill="1" applyBorder="1" applyAlignment="1">
      <alignment horizontal="center"/>
    </xf>
    <xf numFmtId="0" fontId="63" fillId="2" borderId="11" xfId="0" applyFont="1" applyFill="1" applyBorder="1" applyAlignment="1" applyProtection="1">
      <alignment horizontal="center" vertical="center"/>
      <protection locked="0"/>
    </xf>
    <xf numFmtId="0" fontId="63" fillId="2" borderId="1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double"/>
        <strike/>
        <color rgb="FF9999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workbookViewId="0" topLeftCell="A26">
      <selection activeCell="P18" sqref="P18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4" width="8.00390625" style="0" customWidth="1"/>
    <col min="5" max="5" width="7.57421875" style="0" customWidth="1"/>
    <col min="6" max="6" width="8.140625" style="0" customWidth="1"/>
    <col min="7" max="14" width="7.8515625" style="0" customWidth="1"/>
    <col min="16" max="16" width="7.57421875" style="0" customWidth="1"/>
    <col min="17" max="17" width="9.00390625" style="0" bestFit="1" customWidth="1"/>
  </cols>
  <sheetData>
    <row r="1" spans="1:17" ht="15.75" customHeight="1" thickBot="1">
      <c r="A1" s="226" t="s">
        <v>137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ht="11.25" customHeight="1">
      <c r="A2" s="132" t="s">
        <v>0</v>
      </c>
      <c r="B2" s="133"/>
      <c r="C2" s="133"/>
      <c r="D2" s="133"/>
      <c r="E2" s="133"/>
      <c r="F2" s="133"/>
      <c r="G2" s="133"/>
      <c r="H2" s="133"/>
      <c r="I2" s="81"/>
      <c r="J2" s="3" t="s">
        <v>1</v>
      </c>
      <c r="K2" s="4"/>
      <c r="L2" s="4"/>
      <c r="M2" s="4"/>
      <c r="N2" s="4"/>
      <c r="O2" s="4"/>
      <c r="P2" s="4"/>
      <c r="Q2" s="5"/>
    </row>
    <row r="3" spans="1:17" ht="11.25" customHeight="1">
      <c r="A3" s="134" t="s">
        <v>2</v>
      </c>
      <c r="B3" s="133"/>
      <c r="C3" s="133"/>
      <c r="D3" s="133"/>
      <c r="E3" s="133"/>
      <c r="F3" s="133"/>
      <c r="G3" s="133"/>
      <c r="H3" s="133"/>
      <c r="I3" s="2"/>
      <c r="J3" s="1" t="s">
        <v>3</v>
      </c>
      <c r="K3" s="6"/>
      <c r="L3" s="6"/>
      <c r="M3" s="6"/>
      <c r="N3" s="7"/>
      <c r="O3" s="1"/>
      <c r="P3" s="8"/>
      <c r="Q3" s="9"/>
    </row>
    <row r="4" spans="1:17" ht="11.25" customHeight="1">
      <c r="A4" s="10" t="s">
        <v>4</v>
      </c>
      <c r="B4" s="1"/>
      <c r="C4" s="1"/>
      <c r="D4" s="1"/>
      <c r="E4" s="1"/>
      <c r="F4" s="1"/>
      <c r="G4" s="7"/>
      <c r="H4" s="7"/>
      <c r="I4" s="11"/>
      <c r="J4" s="1" t="s">
        <v>5</v>
      </c>
      <c r="K4" s="1"/>
      <c r="L4" s="1"/>
      <c r="M4" s="1"/>
      <c r="N4" s="1"/>
      <c r="O4" s="1"/>
      <c r="P4" s="12"/>
      <c r="Q4" s="13"/>
    </row>
    <row r="5" spans="1:17" ht="12.75" customHeight="1">
      <c r="A5" s="125" t="s">
        <v>6</v>
      </c>
      <c r="B5" s="227"/>
      <c r="C5" s="227"/>
      <c r="D5" s="227"/>
      <c r="E5" s="228"/>
      <c r="F5" s="135"/>
      <c r="G5" s="136"/>
      <c r="H5" s="137" t="s">
        <v>106</v>
      </c>
      <c r="I5" s="138"/>
      <c r="J5" s="6" t="s">
        <v>7</v>
      </c>
      <c r="K5" s="1"/>
      <c r="L5" s="1"/>
      <c r="M5" s="1"/>
      <c r="N5" s="1"/>
      <c r="O5" s="1"/>
      <c r="P5" s="1"/>
      <c r="Q5" s="9"/>
    </row>
    <row r="6" spans="1:17" ht="12" customHeight="1">
      <c r="A6" s="118"/>
      <c r="B6" s="139" t="str">
        <f>IF($O$8=0,"You are covered by pension rules ","You are covered by NEW PENSION SCHEME")</f>
        <v>You are covered by pension rules </v>
      </c>
      <c r="C6" s="139"/>
      <c r="D6" s="139"/>
      <c r="E6" s="140"/>
      <c r="F6" s="123"/>
      <c r="G6" s="124"/>
      <c r="H6" s="124"/>
      <c r="I6" s="124"/>
      <c r="J6" s="141" t="s">
        <v>9</v>
      </c>
      <c r="K6" s="142"/>
      <c r="L6" s="142"/>
      <c r="M6" s="142"/>
      <c r="N6" s="142"/>
      <c r="O6" s="142"/>
      <c r="P6" s="117"/>
      <c r="Q6" s="119"/>
    </row>
    <row r="7" spans="1:17" ht="12" customHeight="1">
      <c r="A7" s="14" t="s">
        <v>8</v>
      </c>
      <c r="B7" s="8"/>
      <c r="C7" s="8"/>
      <c r="D7" s="8"/>
      <c r="E7" s="8"/>
      <c r="F7" s="82"/>
      <c r="G7" s="82"/>
      <c r="H7" s="82"/>
      <c r="I7" s="15"/>
      <c r="J7" s="122"/>
      <c r="K7" s="121"/>
      <c r="L7" s="121"/>
      <c r="M7" s="121"/>
      <c r="N7" s="121"/>
      <c r="O7" s="121"/>
      <c r="P7" s="16"/>
      <c r="Q7" s="17"/>
    </row>
    <row r="8" spans="1:17" ht="10.5" customHeight="1">
      <c r="A8" s="143" t="s">
        <v>128</v>
      </c>
      <c r="B8" s="144"/>
      <c r="C8" s="144"/>
      <c r="D8" s="144"/>
      <c r="E8" s="145"/>
      <c r="F8" s="146" t="s">
        <v>126</v>
      </c>
      <c r="G8" s="147"/>
      <c r="H8" s="147"/>
      <c r="I8" s="124"/>
      <c r="O8" s="120">
        <v>0</v>
      </c>
      <c r="P8" s="19"/>
      <c r="Q8" s="13"/>
    </row>
    <row r="9" spans="1:17" ht="11.25" customHeight="1">
      <c r="A9" s="148" t="s">
        <v>101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50"/>
      <c r="O9" s="107">
        <v>1</v>
      </c>
      <c r="P9" s="19"/>
      <c r="Q9" s="13"/>
    </row>
    <row r="10" spans="1:17" ht="12.75" customHeight="1">
      <c r="A10" s="151" t="s">
        <v>105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07">
        <v>0</v>
      </c>
      <c r="P10" s="18"/>
      <c r="Q10" s="13"/>
    </row>
    <row r="11" spans="1:17" ht="13.5" customHeight="1">
      <c r="A11" s="153" t="s">
        <v>10</v>
      </c>
      <c r="B11" s="144"/>
      <c r="C11" s="144"/>
      <c r="D11" s="144"/>
      <c r="E11" s="144"/>
      <c r="F11" s="154" t="s">
        <v>11</v>
      </c>
      <c r="G11" s="154"/>
      <c r="H11" s="154"/>
      <c r="I11" s="154"/>
      <c r="J11" s="154"/>
      <c r="K11" s="154"/>
      <c r="L11" s="154"/>
      <c r="M11" s="154"/>
      <c r="N11" s="155"/>
      <c r="O11" s="107">
        <v>2</v>
      </c>
      <c r="P11" s="18"/>
      <c r="Q11" s="13"/>
    </row>
    <row r="12" spans="1:17" ht="12.75" customHeight="1">
      <c r="A12" s="153" t="s">
        <v>12</v>
      </c>
      <c r="B12" s="144"/>
      <c r="C12" s="144"/>
      <c r="D12" s="144"/>
      <c r="E12" s="144"/>
      <c r="F12" s="154" t="s">
        <v>135</v>
      </c>
      <c r="G12" s="154"/>
      <c r="H12" s="154"/>
      <c r="I12" s="154"/>
      <c r="J12" s="154"/>
      <c r="K12" s="154"/>
      <c r="L12" s="154"/>
      <c r="M12" s="154"/>
      <c r="N12" s="155"/>
      <c r="O12" s="116">
        <v>2</v>
      </c>
      <c r="P12" s="18"/>
      <c r="Q12" s="13"/>
    </row>
    <row r="13" spans="1:17" ht="12.75">
      <c r="A13" s="156" t="s">
        <v>13</v>
      </c>
      <c r="B13" s="157"/>
      <c r="C13" s="78" t="s">
        <v>103</v>
      </c>
      <c r="D13" s="78" t="s">
        <v>111</v>
      </c>
      <c r="E13" s="78" t="s">
        <v>112</v>
      </c>
      <c r="F13" s="78" t="s">
        <v>113</v>
      </c>
      <c r="G13" s="78" t="s">
        <v>114</v>
      </c>
      <c r="H13" s="78" t="s">
        <v>115</v>
      </c>
      <c r="I13" s="78" t="s">
        <v>116</v>
      </c>
      <c r="J13" s="78" t="s">
        <v>117</v>
      </c>
      <c r="K13" s="78" t="s">
        <v>118</v>
      </c>
      <c r="L13" s="78" t="s">
        <v>119</v>
      </c>
      <c r="M13" s="78" t="s">
        <v>120</v>
      </c>
      <c r="N13" s="78" t="s">
        <v>121</v>
      </c>
      <c r="O13" s="79" t="s">
        <v>14</v>
      </c>
      <c r="P13" s="19"/>
      <c r="Q13" s="13"/>
    </row>
    <row r="14" spans="1:17" ht="12.75">
      <c r="A14" s="158" t="s">
        <v>15</v>
      </c>
      <c r="B14" s="159"/>
      <c r="C14" s="108">
        <v>0</v>
      </c>
      <c r="D14" s="85">
        <f aca="true" t="shared" si="0" ref="D14:F16">C14</f>
        <v>0</v>
      </c>
      <c r="E14" s="85">
        <f t="shared" si="0"/>
        <v>0</v>
      </c>
      <c r="F14" s="85">
        <f t="shared" si="0"/>
        <v>0</v>
      </c>
      <c r="G14" s="85">
        <f>CEILING((INT((C14)+(C14+C15)*3%)),10)</f>
        <v>0</v>
      </c>
      <c r="H14" s="85">
        <f>G14</f>
        <v>0</v>
      </c>
      <c r="I14" s="85">
        <f aca="true" t="shared" si="1" ref="H14:N17">H14</f>
        <v>0</v>
      </c>
      <c r="J14" s="85">
        <f t="shared" si="1"/>
        <v>0</v>
      </c>
      <c r="K14" s="85">
        <f t="shared" si="1"/>
        <v>0</v>
      </c>
      <c r="L14" s="85">
        <f t="shared" si="1"/>
        <v>0</v>
      </c>
      <c r="M14" s="85">
        <f t="shared" si="1"/>
        <v>0</v>
      </c>
      <c r="N14" s="85">
        <f t="shared" si="1"/>
        <v>0</v>
      </c>
      <c r="O14" s="86">
        <f>SUM(C14:N14)</f>
        <v>0</v>
      </c>
      <c r="P14" s="19"/>
      <c r="Q14" s="21"/>
    </row>
    <row r="15" spans="1:17" ht="12.75">
      <c r="A15" s="158" t="s">
        <v>16</v>
      </c>
      <c r="B15" s="159"/>
      <c r="C15" s="108">
        <v>0</v>
      </c>
      <c r="D15" s="85">
        <f t="shared" si="0"/>
        <v>0</v>
      </c>
      <c r="E15" s="85">
        <f t="shared" si="0"/>
        <v>0</v>
      </c>
      <c r="F15" s="85">
        <f t="shared" si="0"/>
        <v>0</v>
      </c>
      <c r="G15" s="85">
        <f>F15</f>
        <v>0</v>
      </c>
      <c r="H15" s="85">
        <f t="shared" si="1"/>
        <v>0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0</v>
      </c>
      <c r="N15" s="85">
        <f t="shared" si="1"/>
        <v>0</v>
      </c>
      <c r="O15" s="86">
        <f>SUM(C15:N15)</f>
        <v>0</v>
      </c>
      <c r="P15" s="19"/>
      <c r="Q15" s="21"/>
    </row>
    <row r="16" spans="1:17" ht="12.75">
      <c r="A16" s="158" t="s">
        <v>17</v>
      </c>
      <c r="B16" s="159"/>
      <c r="C16" s="108">
        <v>0</v>
      </c>
      <c r="D16" s="85">
        <f t="shared" si="0"/>
        <v>0</v>
      </c>
      <c r="E16" s="85">
        <f t="shared" si="0"/>
        <v>0</v>
      </c>
      <c r="F16" s="85">
        <f t="shared" si="0"/>
        <v>0</v>
      </c>
      <c r="G16" s="85">
        <f>F16</f>
        <v>0</v>
      </c>
      <c r="H16" s="85">
        <f t="shared" si="1"/>
        <v>0</v>
      </c>
      <c r="I16" s="85">
        <f t="shared" si="1"/>
        <v>0</v>
      </c>
      <c r="J16" s="85">
        <f t="shared" si="1"/>
        <v>0</v>
      </c>
      <c r="K16" s="85">
        <f t="shared" si="1"/>
        <v>0</v>
      </c>
      <c r="L16" s="85">
        <f t="shared" si="1"/>
        <v>0</v>
      </c>
      <c r="M16" s="85">
        <f t="shared" si="1"/>
        <v>0</v>
      </c>
      <c r="N16" s="85">
        <f>M16</f>
        <v>0</v>
      </c>
      <c r="O16" s="86">
        <f>SUM(C16:N16)</f>
        <v>0</v>
      </c>
      <c r="P16" s="19"/>
      <c r="Q16" s="21"/>
    </row>
    <row r="17" spans="1:17" ht="12.75">
      <c r="A17" s="158" t="s">
        <v>18</v>
      </c>
      <c r="B17" s="159"/>
      <c r="C17" s="108">
        <v>65</v>
      </c>
      <c r="D17" s="85">
        <f>C17</f>
        <v>65</v>
      </c>
      <c r="E17" s="85">
        <f>D17</f>
        <v>65</v>
      </c>
      <c r="F17" s="85">
        <f>E17</f>
        <v>65</v>
      </c>
      <c r="G17" s="85">
        <f>F17</f>
        <v>65</v>
      </c>
      <c r="H17" s="85">
        <f t="shared" si="1"/>
        <v>65</v>
      </c>
      <c r="I17" s="108">
        <f t="shared" si="1"/>
        <v>65</v>
      </c>
      <c r="J17" s="108">
        <f>I17</f>
        <v>65</v>
      </c>
      <c r="K17" s="85">
        <f t="shared" si="1"/>
        <v>65</v>
      </c>
      <c r="L17" s="85">
        <f t="shared" si="1"/>
        <v>65</v>
      </c>
      <c r="M17" s="85">
        <f t="shared" si="1"/>
        <v>65</v>
      </c>
      <c r="N17" s="85">
        <f t="shared" si="1"/>
        <v>65</v>
      </c>
      <c r="O17" s="86"/>
      <c r="P17" s="8"/>
      <c r="Q17" s="21"/>
    </row>
    <row r="18" spans="1:17" ht="12.75">
      <c r="A18" s="158" t="s">
        <v>19</v>
      </c>
      <c r="B18" s="159"/>
      <c r="C18" s="84">
        <f>ROUND(((C14+C15+C22)*C17%),0)</f>
        <v>0</v>
      </c>
      <c r="D18" s="84">
        <f aca="true" t="shared" si="2" ref="D18:N18">ROUND(((D14+D15+D22)*D17%),0)</f>
        <v>0</v>
      </c>
      <c r="E18" s="84">
        <f t="shared" si="2"/>
        <v>0</v>
      </c>
      <c r="F18" s="84">
        <f t="shared" si="2"/>
        <v>0</v>
      </c>
      <c r="G18" s="84">
        <f t="shared" si="2"/>
        <v>0</v>
      </c>
      <c r="H18" s="84">
        <f t="shared" si="2"/>
        <v>0</v>
      </c>
      <c r="I18" s="84">
        <f t="shared" si="2"/>
        <v>0</v>
      </c>
      <c r="J18" s="84">
        <f t="shared" si="2"/>
        <v>0</v>
      </c>
      <c r="K18" s="84">
        <f t="shared" si="2"/>
        <v>0</v>
      </c>
      <c r="L18" s="84">
        <f t="shared" si="2"/>
        <v>0</v>
      </c>
      <c r="M18" s="84">
        <f t="shared" si="2"/>
        <v>0</v>
      </c>
      <c r="N18" s="84">
        <f t="shared" si="2"/>
        <v>0</v>
      </c>
      <c r="O18" s="87">
        <f>SUM(C18:N18)</f>
        <v>0</v>
      </c>
      <c r="P18" s="8"/>
      <c r="Q18" s="24"/>
    </row>
    <row r="19" spans="1:17" ht="12.75">
      <c r="A19" s="158" t="s">
        <v>20</v>
      </c>
      <c r="B19" s="159"/>
      <c r="C19" s="84">
        <f>IF($O$10=1,ROUND(((C14+C15)*30%),0),IF($O$10=2,ROUND(((C14+C15)*20%),0),IF($O$10=3,ROUND(((C14+C15)*10%),0),(0))))</f>
        <v>0</v>
      </c>
      <c r="D19" s="84">
        <f aca="true" t="shared" si="3" ref="D19:N19">IF($O$10=1,ROUND(((D14+D15)*30%),0),IF($O$10=2,ROUND(((D14+D15)*20%),0),IF($O$10=3,ROUND(((D14+D15)*10%),0),(0))))</f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  <c r="H19" s="84">
        <f t="shared" si="3"/>
        <v>0</v>
      </c>
      <c r="I19" s="84">
        <f t="shared" si="3"/>
        <v>0</v>
      </c>
      <c r="J19" s="84">
        <f t="shared" si="3"/>
        <v>0</v>
      </c>
      <c r="K19" s="84">
        <f t="shared" si="3"/>
        <v>0</v>
      </c>
      <c r="L19" s="84">
        <f t="shared" si="3"/>
        <v>0</v>
      </c>
      <c r="M19" s="84">
        <f t="shared" si="3"/>
        <v>0</v>
      </c>
      <c r="N19" s="84">
        <f t="shared" si="3"/>
        <v>0</v>
      </c>
      <c r="O19" s="87">
        <f>SUM(C19:N19)</f>
        <v>0</v>
      </c>
      <c r="P19" s="19"/>
      <c r="Q19" s="13"/>
    </row>
    <row r="20" spans="1:17" ht="12.75">
      <c r="A20" s="158" t="s">
        <v>21</v>
      </c>
      <c r="B20" s="159"/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23">
        <f>SUM(C20:N20)</f>
        <v>0</v>
      </c>
      <c r="P20" s="19"/>
      <c r="Q20" s="25"/>
    </row>
    <row r="21" spans="1:17" ht="12.75">
      <c r="A21" s="158" t="s">
        <v>107</v>
      </c>
      <c r="B21" s="159"/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23">
        <f>SUM(C21:N21)</f>
        <v>0</v>
      </c>
      <c r="P21" s="8"/>
      <c r="Q21" s="21"/>
    </row>
    <row r="22" spans="1:17" ht="12.75">
      <c r="A22" s="158" t="s">
        <v>108</v>
      </c>
      <c r="B22" s="159"/>
      <c r="C22" s="85">
        <f>IF($O$12=1,ROUND(((C14+C15)*25%),0),(0))</f>
        <v>0</v>
      </c>
      <c r="D22" s="85">
        <f aca="true" t="shared" si="4" ref="D22:N22">IF($O$12=1,ROUND(((D14+D15)*25%),0),(0))</f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5">
        <f t="shared" si="4"/>
        <v>0</v>
      </c>
      <c r="M22" s="85">
        <f t="shared" si="4"/>
        <v>0</v>
      </c>
      <c r="N22" s="85">
        <f t="shared" si="4"/>
        <v>0</v>
      </c>
      <c r="O22" s="87">
        <f aca="true" t="shared" si="5" ref="O22:O30">SUM(C22:N22)</f>
        <v>0</v>
      </c>
      <c r="P22" s="19"/>
      <c r="Q22" s="21"/>
    </row>
    <row r="23" spans="1:17" ht="12.75">
      <c r="A23" s="158" t="s">
        <v>22</v>
      </c>
      <c r="B23" s="159"/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88">
        <f t="shared" si="5"/>
        <v>0</v>
      </c>
      <c r="P23" s="8"/>
      <c r="Q23" s="21"/>
    </row>
    <row r="24" spans="1:17" ht="12.75">
      <c r="A24" s="158" t="s">
        <v>136</v>
      </c>
      <c r="B24" s="159"/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87">
        <f t="shared" si="5"/>
        <v>0</v>
      </c>
      <c r="P24" s="8"/>
      <c r="Q24" s="21"/>
    </row>
    <row r="25" spans="1:17" ht="12.75">
      <c r="A25" s="158" t="s">
        <v>23</v>
      </c>
      <c r="B25" s="159"/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87">
        <f t="shared" si="5"/>
        <v>0</v>
      </c>
      <c r="P25" s="8"/>
      <c r="Q25" s="21"/>
    </row>
    <row r="26" spans="1:17" ht="12.75">
      <c r="A26" s="158" t="s">
        <v>24</v>
      </c>
      <c r="B26" s="159"/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87">
        <f t="shared" si="5"/>
        <v>0</v>
      </c>
      <c r="P26" s="8"/>
      <c r="Q26" s="21"/>
    </row>
    <row r="27" spans="1:17" ht="11.25" customHeight="1">
      <c r="A27" s="160"/>
      <c r="B27" s="161"/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87">
        <f t="shared" si="5"/>
        <v>0</v>
      </c>
      <c r="P27" s="8"/>
      <c r="Q27" s="21"/>
    </row>
    <row r="28" spans="1:17" ht="12" customHeight="1">
      <c r="A28" s="162"/>
      <c r="B28" s="163"/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87">
        <f t="shared" si="5"/>
        <v>0</v>
      </c>
      <c r="P28" s="8"/>
      <c r="Q28" s="21"/>
    </row>
    <row r="29" spans="1:17" ht="11.25" customHeight="1">
      <c r="A29" s="162"/>
      <c r="B29" s="163"/>
      <c r="C29" s="108">
        <v>0</v>
      </c>
      <c r="D29" s="108">
        <v>0</v>
      </c>
      <c r="E29" s="108">
        <v>1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87">
        <f t="shared" si="5"/>
        <v>1</v>
      </c>
      <c r="P29" s="8"/>
      <c r="Q29" s="21"/>
    </row>
    <row r="30" spans="1:17" ht="11.25" customHeight="1">
      <c r="A30" s="162"/>
      <c r="B30" s="163"/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87">
        <f t="shared" si="5"/>
        <v>0</v>
      </c>
      <c r="P30" s="8"/>
      <c r="Q30" s="21"/>
    </row>
    <row r="31" spans="1:17" ht="12" customHeight="1">
      <c r="A31" s="164" t="s">
        <v>25</v>
      </c>
      <c r="B31" s="165"/>
      <c r="C31" s="89">
        <f>SUM(C14:C16)+SUM(C18:C30)</f>
        <v>0</v>
      </c>
      <c r="D31" s="89">
        <f>SUM(D14:D16)+SUM(D18:D30)</f>
        <v>0</v>
      </c>
      <c r="E31" s="89">
        <f>SUM(E14:E16)+SUM(E18:E30)</f>
        <v>1</v>
      </c>
      <c r="F31" s="89">
        <f>SUM(F14:F16)+SUM(F18:F30)</f>
        <v>0</v>
      </c>
      <c r="G31" s="89">
        <f>SUM(G14:G16)+SUM(G18:G30)</f>
        <v>0</v>
      </c>
      <c r="H31" s="89">
        <f>SUM(H14:H16)+SUM(H18:H30)</f>
        <v>0</v>
      </c>
      <c r="I31" s="89">
        <f>SUM(I14:I16)+SUM(I18:I30)</f>
        <v>0</v>
      </c>
      <c r="J31" s="89">
        <f>SUM(J14:J16)+SUM(J18:J30)</f>
        <v>0</v>
      </c>
      <c r="K31" s="89">
        <f>SUM(K14:K16)+SUM(K18:K30)</f>
        <v>0</v>
      </c>
      <c r="L31" s="89">
        <f>SUM(L14:L16)+SUM(L18:L30)</f>
        <v>0</v>
      </c>
      <c r="M31" s="89">
        <f>SUM(M14:M16)+SUM(M18:M30)</f>
        <v>0</v>
      </c>
      <c r="N31" s="89">
        <f>SUM(N14:N16)+SUM(N18:N30)</f>
        <v>0</v>
      </c>
      <c r="O31" s="88">
        <f aca="true" t="shared" si="6" ref="O31:O39">SUM(C31:N31)</f>
        <v>1</v>
      </c>
      <c r="P31" s="26"/>
      <c r="Q31" s="21"/>
    </row>
    <row r="32" spans="1:17" ht="11.25" customHeight="1">
      <c r="A32" s="158" t="s">
        <v>26</v>
      </c>
      <c r="B32" s="159"/>
      <c r="C32" s="84">
        <f>IF($O$9=2,IF(C15=0,0,IF(AND(C15&gt;0,C15&lt;4200),(400+400*C17%),IF(AND(C15&gt;=4200,C15&lt;=4800),(800+800*C17%),(1600+1600*C17%)))),IF($O$9=1,IF(C15=0,0,IF(AND(C15&gt;0,C15&lt;4200),(600+600*C17%),IF(AND(C15&gt;=4200,C15&lt;=4800),(1600+1600*C17%),(3200+3200*C17%))))))</f>
        <v>0</v>
      </c>
      <c r="D32" s="84">
        <f aca="true" t="shared" si="7" ref="D32:N32">IF($O$9=2,IF(D15=0,0,IF(AND(D15&gt;0,D15&lt;4200),(400+400*D17%),IF(AND(D15&gt;=4200,D15&lt;=4800),(800+800*D17%),(1600+1600*D17%)))),IF($O$9=1,IF(D15=0,0,IF(AND(D15&gt;0,D15&lt;4200),(600+600*D17%),IF(AND(D15&gt;=4200,D15&lt;=4800),(1600+1600*D17%),(3200+3200*D17%))))))</f>
        <v>0</v>
      </c>
      <c r="E32" s="84">
        <f t="shared" si="7"/>
        <v>0</v>
      </c>
      <c r="F32" s="84">
        <f t="shared" si="7"/>
        <v>0</v>
      </c>
      <c r="G32" s="84">
        <f t="shared" si="7"/>
        <v>0</v>
      </c>
      <c r="H32" s="84">
        <f t="shared" si="7"/>
        <v>0</v>
      </c>
      <c r="I32" s="84">
        <f t="shared" si="7"/>
        <v>0</v>
      </c>
      <c r="J32" s="84">
        <f t="shared" si="7"/>
        <v>0</v>
      </c>
      <c r="K32" s="84">
        <f t="shared" si="7"/>
        <v>0</v>
      </c>
      <c r="L32" s="84">
        <f t="shared" si="7"/>
        <v>0</v>
      </c>
      <c r="M32" s="84">
        <f t="shared" si="7"/>
        <v>0</v>
      </c>
      <c r="N32" s="84">
        <f t="shared" si="7"/>
        <v>0</v>
      </c>
      <c r="O32" s="86">
        <f t="shared" si="6"/>
        <v>0</v>
      </c>
      <c r="P32" s="8"/>
      <c r="Q32" s="21"/>
    </row>
    <row r="33" spans="1:17" ht="10.5" customHeight="1">
      <c r="A33" s="158" t="s">
        <v>27</v>
      </c>
      <c r="B33" s="159"/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86">
        <f t="shared" si="6"/>
        <v>0</v>
      </c>
      <c r="P33" s="8"/>
      <c r="Q33" s="21"/>
    </row>
    <row r="34" spans="1:17" ht="11.25" customHeight="1">
      <c r="A34" s="158" t="s">
        <v>28</v>
      </c>
      <c r="B34" s="159"/>
      <c r="C34" s="90">
        <f>IF($O$11=1,ROUND(((C14+C15)*30%),0),IF($O$11=2,ROUND(((C14+C15)*15%),0),(0)))</f>
        <v>0</v>
      </c>
      <c r="D34" s="90">
        <f aca="true" t="shared" si="8" ref="D34:N34">IF($O$11=1,ROUND(((D14+D15)*30%),0),IF($O$11=2,ROUND(((D14+D15)*15%),0),(0)))</f>
        <v>0</v>
      </c>
      <c r="E34" s="90">
        <f t="shared" si="8"/>
        <v>0</v>
      </c>
      <c r="F34" s="90">
        <f t="shared" si="8"/>
        <v>0</v>
      </c>
      <c r="G34" s="90">
        <f t="shared" si="8"/>
        <v>0</v>
      </c>
      <c r="H34" s="90">
        <f t="shared" si="8"/>
        <v>0</v>
      </c>
      <c r="I34" s="90">
        <f t="shared" si="8"/>
        <v>0</v>
      </c>
      <c r="J34" s="90">
        <f t="shared" si="8"/>
        <v>0</v>
      </c>
      <c r="K34" s="90">
        <f t="shared" si="8"/>
        <v>0</v>
      </c>
      <c r="L34" s="90">
        <f t="shared" si="8"/>
        <v>0</v>
      </c>
      <c r="M34" s="90">
        <f t="shared" si="8"/>
        <v>0</v>
      </c>
      <c r="N34" s="90">
        <f t="shared" si="8"/>
        <v>0</v>
      </c>
      <c r="O34" s="86">
        <f t="shared" si="6"/>
        <v>0</v>
      </c>
      <c r="P34" s="8"/>
      <c r="Q34" s="21"/>
    </row>
    <row r="35" spans="1:17" ht="11.25" customHeight="1">
      <c r="A35" s="158" t="s">
        <v>29</v>
      </c>
      <c r="B35" s="159"/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86">
        <f t="shared" si="6"/>
        <v>0</v>
      </c>
      <c r="P35" s="8"/>
      <c r="Q35" s="21"/>
    </row>
    <row r="36" spans="1:17" ht="11.25" customHeight="1">
      <c r="A36" s="166"/>
      <c r="B36" s="167"/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86">
        <f t="shared" si="6"/>
        <v>0</v>
      </c>
      <c r="P36" s="8"/>
      <c r="Q36" s="21"/>
    </row>
    <row r="37" spans="1:17" ht="11.25" customHeight="1">
      <c r="A37" s="166"/>
      <c r="B37" s="167"/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86">
        <f t="shared" si="6"/>
        <v>0</v>
      </c>
      <c r="P37" s="8"/>
      <c r="Q37" s="21"/>
    </row>
    <row r="38" spans="1:17" ht="12" customHeight="1">
      <c r="A38" s="164" t="s">
        <v>30</v>
      </c>
      <c r="B38" s="165"/>
      <c r="C38" s="89">
        <f>SUM(C32:C37)</f>
        <v>0</v>
      </c>
      <c r="D38" s="89">
        <f aca="true" t="shared" si="9" ref="D38:N38">SUM(D32:D37)</f>
        <v>0</v>
      </c>
      <c r="E38" s="89">
        <f t="shared" si="9"/>
        <v>0</v>
      </c>
      <c r="F38" s="89">
        <f t="shared" si="9"/>
        <v>0</v>
      </c>
      <c r="G38" s="89">
        <f t="shared" si="9"/>
        <v>0</v>
      </c>
      <c r="H38" s="89">
        <f t="shared" si="9"/>
        <v>0</v>
      </c>
      <c r="I38" s="89">
        <f t="shared" si="9"/>
        <v>0</v>
      </c>
      <c r="J38" s="89">
        <f t="shared" si="9"/>
        <v>0</v>
      </c>
      <c r="K38" s="89">
        <f t="shared" si="9"/>
        <v>0</v>
      </c>
      <c r="L38" s="89">
        <f t="shared" si="9"/>
        <v>0</v>
      </c>
      <c r="M38" s="89">
        <f t="shared" si="9"/>
        <v>0</v>
      </c>
      <c r="N38" s="89">
        <f t="shared" si="9"/>
        <v>0</v>
      </c>
      <c r="O38" s="87">
        <f t="shared" si="6"/>
        <v>0</v>
      </c>
      <c r="P38" s="8"/>
      <c r="Q38" s="21"/>
    </row>
    <row r="39" spans="1:17" ht="11.25" customHeight="1">
      <c r="A39" s="168" t="s">
        <v>31</v>
      </c>
      <c r="B39" s="169"/>
      <c r="C39" s="91">
        <f aca="true" t="shared" si="10" ref="C39:N39">SUM(C31+C38)</f>
        <v>0</v>
      </c>
      <c r="D39" s="91">
        <f t="shared" si="10"/>
        <v>0</v>
      </c>
      <c r="E39" s="91">
        <f t="shared" si="10"/>
        <v>1</v>
      </c>
      <c r="F39" s="91">
        <f t="shared" si="10"/>
        <v>0</v>
      </c>
      <c r="G39" s="91">
        <f t="shared" si="10"/>
        <v>0</v>
      </c>
      <c r="H39" s="109">
        <f t="shared" si="10"/>
        <v>0</v>
      </c>
      <c r="I39" s="109">
        <f t="shared" si="10"/>
        <v>0</v>
      </c>
      <c r="J39" s="91">
        <f t="shared" si="10"/>
        <v>0</v>
      </c>
      <c r="K39" s="91">
        <f t="shared" si="10"/>
        <v>0</v>
      </c>
      <c r="L39" s="91">
        <f t="shared" si="10"/>
        <v>0</v>
      </c>
      <c r="M39" s="91">
        <f t="shared" si="10"/>
        <v>0</v>
      </c>
      <c r="N39" s="91">
        <f t="shared" si="10"/>
        <v>0</v>
      </c>
      <c r="O39" s="87">
        <f t="shared" si="6"/>
        <v>1</v>
      </c>
      <c r="P39" s="8"/>
      <c r="Q39" s="21"/>
    </row>
    <row r="40" spans="1:17" ht="12.75">
      <c r="A40" s="158" t="s">
        <v>32</v>
      </c>
      <c r="B40" s="159"/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88">
        <f>SUM(C40:N40)</f>
        <v>0</v>
      </c>
      <c r="P40" s="8"/>
      <c r="Q40" s="21"/>
    </row>
    <row r="41" spans="1:17" ht="12.75">
      <c r="A41" s="170" t="s">
        <v>33</v>
      </c>
      <c r="B41" s="171"/>
      <c r="C41" s="92">
        <f>SUM(C39:C40)</f>
        <v>0</v>
      </c>
      <c r="D41" s="92">
        <f aca="true" t="shared" si="11" ref="D41:N41">SUM(D39:D40)</f>
        <v>0</v>
      </c>
      <c r="E41" s="92">
        <f t="shared" si="11"/>
        <v>1</v>
      </c>
      <c r="F41" s="92">
        <f t="shared" si="11"/>
        <v>0</v>
      </c>
      <c r="G41" s="92">
        <f t="shared" si="11"/>
        <v>0</v>
      </c>
      <c r="H41" s="92">
        <f t="shared" si="11"/>
        <v>0</v>
      </c>
      <c r="I41" s="92">
        <f t="shared" si="11"/>
        <v>0</v>
      </c>
      <c r="J41" s="92">
        <f t="shared" si="11"/>
        <v>0</v>
      </c>
      <c r="K41" s="92">
        <f t="shared" si="11"/>
        <v>0</v>
      </c>
      <c r="L41" s="92">
        <f t="shared" si="11"/>
        <v>0</v>
      </c>
      <c r="M41" s="92">
        <f t="shared" si="11"/>
        <v>0</v>
      </c>
      <c r="N41" s="92">
        <f t="shared" si="11"/>
        <v>0</v>
      </c>
      <c r="O41" s="92">
        <f>SUM(C41:N41)</f>
        <v>1</v>
      </c>
      <c r="P41" s="8"/>
      <c r="Q41" s="21"/>
    </row>
    <row r="42" spans="1:17" ht="12.75">
      <c r="A42" s="172">
        <f>IF($O$8=0,"","NPS-Govt Contribution")</f>
      </c>
      <c r="B42" s="173"/>
      <c r="C42" s="22" t="str">
        <f>IF($O$8=1,C44," ")</f>
        <v> </v>
      </c>
      <c r="D42" s="22" t="str">
        <f aca="true" t="shared" si="12" ref="D42:N42">IF($O$8=1,D44," ")</f>
        <v> </v>
      </c>
      <c r="E42" s="22" t="str">
        <f t="shared" si="12"/>
        <v> </v>
      </c>
      <c r="F42" s="22" t="str">
        <f t="shared" si="12"/>
        <v> </v>
      </c>
      <c r="G42" s="22" t="str">
        <f t="shared" si="12"/>
        <v> </v>
      </c>
      <c r="H42" s="22" t="str">
        <f t="shared" si="12"/>
        <v> </v>
      </c>
      <c r="I42" s="22" t="str">
        <f t="shared" si="12"/>
        <v> </v>
      </c>
      <c r="J42" s="22" t="str">
        <f t="shared" si="12"/>
        <v> </v>
      </c>
      <c r="K42" s="22" t="str">
        <f t="shared" si="12"/>
        <v> </v>
      </c>
      <c r="L42" s="22" t="str">
        <f t="shared" si="12"/>
        <v> </v>
      </c>
      <c r="M42" s="22" t="str">
        <f t="shared" si="12"/>
        <v> </v>
      </c>
      <c r="N42" s="22" t="str">
        <f t="shared" si="12"/>
        <v> </v>
      </c>
      <c r="O42" s="27">
        <f>SUM(C42:N42)</f>
        <v>0</v>
      </c>
      <c r="P42" s="8"/>
      <c r="Q42" s="21"/>
    </row>
    <row r="43" spans="1:17" ht="12.75">
      <c r="A43" s="156" t="s">
        <v>34</v>
      </c>
      <c r="B43" s="229"/>
      <c r="C43" s="230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8"/>
      <c r="Q43" s="21"/>
    </row>
    <row r="44" spans="1:17" ht="12.75">
      <c r="A44" s="158" t="str">
        <f>IF(O8=0," PF","NPS-TIER I")</f>
        <v> PF</v>
      </c>
      <c r="B44" s="159"/>
      <c r="C44" s="84">
        <f>IF($O$8=0,ROUND(((C14+C15+C22)/12),0),((C14+C15+C18+C22)*10%))</f>
        <v>0</v>
      </c>
      <c r="D44" s="84">
        <f aca="true" t="shared" si="13" ref="D44:N44">IF($O$8=0,ROUND(((D14+D15+D22)/12),0),((D14+D15+D18+D22)*10%))</f>
        <v>0</v>
      </c>
      <c r="E44" s="84">
        <f t="shared" si="13"/>
        <v>0</v>
      </c>
      <c r="F44" s="84">
        <f t="shared" si="13"/>
        <v>0</v>
      </c>
      <c r="G44" s="84">
        <f t="shared" si="13"/>
        <v>0</v>
      </c>
      <c r="H44" s="84">
        <f t="shared" si="13"/>
        <v>0</v>
      </c>
      <c r="I44" s="84">
        <f t="shared" si="13"/>
        <v>0</v>
      </c>
      <c r="J44" s="84">
        <f t="shared" si="13"/>
        <v>0</v>
      </c>
      <c r="K44" s="84">
        <f t="shared" si="13"/>
        <v>0</v>
      </c>
      <c r="L44" s="84">
        <f t="shared" si="13"/>
        <v>0</v>
      </c>
      <c r="M44" s="84">
        <f t="shared" si="13"/>
        <v>0</v>
      </c>
      <c r="N44" s="84">
        <f t="shared" si="13"/>
        <v>0</v>
      </c>
      <c r="O44" s="88">
        <f aca="true" t="shared" si="14" ref="O44:O49">SUM(C44:N44)</f>
        <v>0</v>
      </c>
      <c r="P44" s="8"/>
      <c r="Q44" s="21"/>
    </row>
    <row r="45" spans="1:17" ht="12.75">
      <c r="A45" s="158" t="str">
        <f>IF($O$8=0,"VPF","NPS-TIER II")</f>
        <v>VPF</v>
      </c>
      <c r="B45" s="159"/>
      <c r="C45" s="108">
        <v>0</v>
      </c>
      <c r="D45" s="108">
        <f>C45</f>
        <v>0</v>
      </c>
      <c r="E45" s="108">
        <f aca="true" t="shared" si="15" ref="E45:N45">D45</f>
        <v>0</v>
      </c>
      <c r="F45" s="108">
        <f t="shared" si="15"/>
        <v>0</v>
      </c>
      <c r="G45" s="108">
        <f t="shared" si="15"/>
        <v>0</v>
      </c>
      <c r="H45" s="108">
        <f t="shared" si="15"/>
        <v>0</v>
      </c>
      <c r="I45" s="108">
        <f t="shared" si="15"/>
        <v>0</v>
      </c>
      <c r="J45" s="108">
        <f t="shared" si="15"/>
        <v>0</v>
      </c>
      <c r="K45" s="108">
        <f t="shared" si="15"/>
        <v>0</v>
      </c>
      <c r="L45" s="108">
        <f t="shared" si="15"/>
        <v>0</v>
      </c>
      <c r="M45" s="108">
        <f t="shared" si="15"/>
        <v>0</v>
      </c>
      <c r="N45" s="108">
        <f t="shared" si="15"/>
        <v>0</v>
      </c>
      <c r="O45" s="88">
        <f t="shared" si="14"/>
        <v>0</v>
      </c>
      <c r="P45" s="8"/>
      <c r="Q45" s="21"/>
    </row>
    <row r="46" spans="1:17" ht="12.75">
      <c r="A46" s="158" t="s">
        <v>35</v>
      </c>
      <c r="B46" s="159"/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88">
        <f t="shared" si="14"/>
        <v>0</v>
      </c>
      <c r="P46" s="8"/>
      <c r="Q46" s="21"/>
    </row>
    <row r="47" spans="1:17" ht="12.75">
      <c r="A47" s="158" t="s">
        <v>36</v>
      </c>
      <c r="B47" s="159"/>
      <c r="C47" s="108">
        <v>0</v>
      </c>
      <c r="D47" s="108">
        <v>0</v>
      </c>
      <c r="E47" s="108">
        <f aca="true" t="shared" si="16" ref="E47:N47">D47</f>
        <v>0</v>
      </c>
      <c r="F47" s="108">
        <f t="shared" si="16"/>
        <v>0</v>
      </c>
      <c r="G47" s="108">
        <f t="shared" si="16"/>
        <v>0</v>
      </c>
      <c r="H47" s="108">
        <f t="shared" si="16"/>
        <v>0</v>
      </c>
      <c r="I47" s="108">
        <f t="shared" si="16"/>
        <v>0</v>
      </c>
      <c r="J47" s="108">
        <f t="shared" si="16"/>
        <v>0</v>
      </c>
      <c r="K47" s="108">
        <f t="shared" si="16"/>
        <v>0</v>
      </c>
      <c r="L47" s="108">
        <f t="shared" si="16"/>
        <v>0</v>
      </c>
      <c r="M47" s="108">
        <f t="shared" si="16"/>
        <v>0</v>
      </c>
      <c r="N47" s="108">
        <f t="shared" si="16"/>
        <v>0</v>
      </c>
      <c r="O47" s="88">
        <f t="shared" si="14"/>
        <v>0</v>
      </c>
      <c r="P47" s="8"/>
      <c r="Q47" s="21"/>
    </row>
    <row r="48" spans="1:17" ht="12.75">
      <c r="A48" s="158" t="s">
        <v>37</v>
      </c>
      <c r="B48" s="159"/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88">
        <f t="shared" si="14"/>
        <v>0</v>
      </c>
      <c r="P48" s="8"/>
      <c r="Q48" s="21"/>
    </row>
    <row r="49" spans="1:17" ht="12.75">
      <c r="A49" s="158" t="s">
        <v>38</v>
      </c>
      <c r="B49" s="159"/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88">
        <f t="shared" si="14"/>
        <v>0</v>
      </c>
      <c r="P49" s="8"/>
      <c r="Q49" s="21"/>
    </row>
    <row r="50" spans="1:17" ht="12.75">
      <c r="A50" s="158" t="s">
        <v>39</v>
      </c>
      <c r="B50" s="159"/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88">
        <f aca="true" t="shared" si="17" ref="O50:O58">SUM(C50:N50)</f>
        <v>0</v>
      </c>
      <c r="P50" s="8"/>
      <c r="Q50" s="21"/>
    </row>
    <row r="51" spans="1:17" ht="12.75">
      <c r="A51" s="158" t="s">
        <v>40</v>
      </c>
      <c r="B51" s="159"/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88">
        <f t="shared" si="17"/>
        <v>0</v>
      </c>
      <c r="P51" s="8"/>
      <c r="Q51" s="21"/>
    </row>
    <row r="52" spans="1:17" ht="12.75">
      <c r="A52" s="158" t="s">
        <v>41</v>
      </c>
      <c r="B52" s="159"/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88">
        <f t="shared" si="17"/>
        <v>0</v>
      </c>
      <c r="P52" s="8"/>
      <c r="Q52" s="21"/>
    </row>
    <row r="53" spans="1:17" ht="12.75">
      <c r="A53" s="158" t="s">
        <v>42</v>
      </c>
      <c r="B53" s="159"/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88">
        <f t="shared" si="17"/>
        <v>0</v>
      </c>
      <c r="P53" s="8"/>
      <c r="Q53" s="21"/>
    </row>
    <row r="54" spans="1:17" ht="12.75">
      <c r="A54" s="158" t="s">
        <v>43</v>
      </c>
      <c r="B54" s="159"/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88">
        <f t="shared" si="17"/>
        <v>0</v>
      </c>
      <c r="P54" s="8"/>
      <c r="Q54" s="21"/>
    </row>
    <row r="55" spans="1:17" ht="12.75">
      <c r="A55" s="158" t="s">
        <v>44</v>
      </c>
      <c r="B55" s="159"/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88">
        <f t="shared" si="17"/>
        <v>0</v>
      </c>
      <c r="P55" s="8"/>
      <c r="Q55" s="21"/>
    </row>
    <row r="56" spans="1:17" ht="12.75">
      <c r="A56" s="166"/>
      <c r="B56" s="167"/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88">
        <f t="shared" si="17"/>
        <v>0</v>
      </c>
      <c r="P56" s="8"/>
      <c r="Q56" s="21"/>
    </row>
    <row r="57" spans="1:17" ht="12.75">
      <c r="A57" s="166"/>
      <c r="B57" s="167"/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88">
        <f t="shared" si="17"/>
        <v>0</v>
      </c>
      <c r="P57" s="8"/>
      <c r="Q57" s="21"/>
    </row>
    <row r="58" spans="1:17" ht="12.75">
      <c r="A58" s="166"/>
      <c r="B58" s="167"/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88">
        <f t="shared" si="17"/>
        <v>0</v>
      </c>
      <c r="P58" s="8"/>
      <c r="Q58" s="21"/>
    </row>
    <row r="59" spans="1:17" ht="12.75">
      <c r="A59" s="174" t="s">
        <v>45</v>
      </c>
      <c r="B59" s="175"/>
      <c r="C59" s="110">
        <f>SUM(C44:C58)</f>
        <v>0</v>
      </c>
      <c r="D59" s="93">
        <f>SUM(D44:D58)</f>
        <v>0</v>
      </c>
      <c r="E59" s="93">
        <f>SUM(E44:E58)</f>
        <v>0</v>
      </c>
      <c r="F59" s="93">
        <f>SUM(F44:F58)</f>
        <v>0</v>
      </c>
      <c r="G59" s="93">
        <f>SUM(G44:G58)</f>
        <v>0</v>
      </c>
      <c r="H59" s="93">
        <f>SUM(H44:H58)</f>
        <v>0</v>
      </c>
      <c r="I59" s="93">
        <f>SUM(I44:I58)</f>
        <v>0</v>
      </c>
      <c r="J59" s="93">
        <f>SUM(J44:J58)</f>
        <v>0</v>
      </c>
      <c r="K59" s="93">
        <f>SUM(K44:K58)</f>
        <v>0</v>
      </c>
      <c r="L59" s="93">
        <f>SUM(L44:L58)</f>
        <v>0</v>
      </c>
      <c r="M59" s="93">
        <f>SUM(M44:M58)</f>
        <v>0</v>
      </c>
      <c r="N59" s="93">
        <f>SUM(N44:N58)</f>
        <v>0</v>
      </c>
      <c r="O59" s="88">
        <f>SUM(C59:N59)</f>
        <v>0</v>
      </c>
      <c r="P59" s="8"/>
      <c r="Q59" s="21"/>
    </row>
    <row r="60" spans="1:17" ht="12.75">
      <c r="A60" s="176" t="s">
        <v>46</v>
      </c>
      <c r="B60" s="177"/>
      <c r="C60" s="88">
        <f>(C39-C59)</f>
        <v>0</v>
      </c>
      <c r="D60" s="88">
        <f>(D39-D59)</f>
        <v>0</v>
      </c>
      <c r="E60" s="88">
        <f>(E39-E59)</f>
        <v>1</v>
      </c>
      <c r="F60" s="94">
        <f>(F39-F59)</f>
        <v>0</v>
      </c>
      <c r="G60" s="88">
        <f>(G39-G59)</f>
        <v>0</v>
      </c>
      <c r="H60" s="88">
        <f>(H39-H59)</f>
        <v>0</v>
      </c>
      <c r="I60" s="88">
        <f>(I39-I59)</f>
        <v>0</v>
      </c>
      <c r="J60" s="88">
        <f>(J39-J59)</f>
        <v>0</v>
      </c>
      <c r="K60" s="88">
        <f>(K39-K59)</f>
        <v>0</v>
      </c>
      <c r="L60" s="88">
        <f>(L39-L59)</f>
        <v>0</v>
      </c>
      <c r="M60" s="88">
        <f>(M39-M59)</f>
        <v>0</v>
      </c>
      <c r="N60" s="88">
        <f>(N39-N59)</f>
        <v>0</v>
      </c>
      <c r="O60" s="88">
        <f>SUM(C60:N60)</f>
        <v>1</v>
      </c>
      <c r="P60" s="8"/>
      <c r="Q60" s="21"/>
    </row>
    <row r="61" spans="1:17" ht="12.75">
      <c r="A61" s="156" t="s">
        <v>129</v>
      </c>
      <c r="B61" s="157"/>
      <c r="C61" s="178"/>
      <c r="D61" s="77"/>
      <c r="E61" s="31"/>
      <c r="F61" s="179" t="s">
        <v>47</v>
      </c>
      <c r="G61" s="180"/>
      <c r="H61" s="180"/>
      <c r="I61" s="180"/>
      <c r="J61" s="180"/>
      <c r="K61" s="180"/>
      <c r="L61" s="180"/>
      <c r="M61" s="181"/>
      <c r="N61" s="32"/>
      <c r="O61" s="32"/>
      <c r="P61" s="33"/>
      <c r="Q61" s="21"/>
    </row>
    <row r="62" spans="1:17" ht="12.75">
      <c r="A62" s="158" t="s">
        <v>25</v>
      </c>
      <c r="B62" s="159"/>
      <c r="C62" s="95">
        <f>((O31+O40)-70%*O23+O42)</f>
        <v>1</v>
      </c>
      <c r="D62" s="33"/>
      <c r="E62" s="31"/>
      <c r="F62" s="182" t="s">
        <v>48</v>
      </c>
      <c r="G62" s="183"/>
      <c r="H62" s="34" t="s">
        <v>49</v>
      </c>
      <c r="I62" s="35" t="s">
        <v>50</v>
      </c>
      <c r="J62" s="184" t="s">
        <v>48</v>
      </c>
      <c r="K62" s="182"/>
      <c r="L62" s="185"/>
      <c r="M62" s="34" t="s">
        <v>49</v>
      </c>
      <c r="N62" s="33"/>
      <c r="O62" s="33"/>
      <c r="P62" s="33"/>
      <c r="Q62" s="21"/>
    </row>
    <row r="63" spans="1:17" ht="12.75">
      <c r="A63" s="186" t="s">
        <v>51</v>
      </c>
      <c r="B63" s="187"/>
      <c r="C63" s="95">
        <f>IF(O32&lt;=9600,0,(O32-9600))</f>
        <v>0</v>
      </c>
      <c r="D63" s="36"/>
      <c r="E63" s="31"/>
      <c r="F63" s="188" t="s">
        <v>52</v>
      </c>
      <c r="G63" s="189"/>
      <c r="H63" s="108">
        <v>0</v>
      </c>
      <c r="I63" s="84">
        <f>MIN(H63,40000)</f>
        <v>0</v>
      </c>
      <c r="J63" s="143" t="s">
        <v>53</v>
      </c>
      <c r="K63" s="190"/>
      <c r="L63" s="191"/>
      <c r="M63" s="100">
        <f>O91</f>
        <v>0</v>
      </c>
      <c r="N63" s="33"/>
      <c r="O63" s="33"/>
      <c r="P63" s="33"/>
      <c r="Q63" s="21"/>
    </row>
    <row r="64" spans="1:17" ht="12.75">
      <c r="A64" s="158" t="s">
        <v>54</v>
      </c>
      <c r="B64" s="159"/>
      <c r="C64" s="95">
        <f>M83</f>
        <v>0</v>
      </c>
      <c r="D64" s="33"/>
      <c r="E64" s="31"/>
      <c r="F64" s="188" t="s">
        <v>55</v>
      </c>
      <c r="G64" s="189"/>
      <c r="H64" s="108">
        <v>0</v>
      </c>
      <c r="I64" s="84">
        <f>MIN(H64,50000)</f>
        <v>0</v>
      </c>
      <c r="J64" s="192" t="s">
        <v>56</v>
      </c>
      <c r="K64" s="193"/>
      <c r="L64" s="159"/>
      <c r="M64" s="108">
        <v>0</v>
      </c>
      <c r="N64" s="33"/>
      <c r="O64" s="33"/>
      <c r="P64" s="33"/>
      <c r="Q64" s="21"/>
    </row>
    <row r="65" spans="1:17" ht="12.75">
      <c r="A65" s="194" t="s">
        <v>57</v>
      </c>
      <c r="B65" s="195"/>
      <c r="C65" s="95">
        <f>SUM(C62:C64)</f>
        <v>1</v>
      </c>
      <c r="D65" s="33"/>
      <c r="E65" s="31"/>
      <c r="F65" s="188" t="s">
        <v>58</v>
      </c>
      <c r="G65" s="189"/>
      <c r="H65" s="108">
        <v>0</v>
      </c>
      <c r="I65" s="84">
        <f>MIN(H65,40000)</f>
        <v>0</v>
      </c>
      <c r="J65" s="192" t="s">
        <v>59</v>
      </c>
      <c r="K65" s="193"/>
      <c r="L65" s="159"/>
      <c r="M65" s="108">
        <v>0</v>
      </c>
      <c r="N65" s="33"/>
      <c r="O65" s="33"/>
      <c r="P65" s="33"/>
      <c r="Q65" s="21"/>
    </row>
    <row r="66" spans="1:17" ht="12.75">
      <c r="A66" s="158" t="s">
        <v>60</v>
      </c>
      <c r="B66" s="159"/>
      <c r="C66" s="95">
        <f>(O42+O44+O45+O49)</f>
        <v>0</v>
      </c>
      <c r="D66" s="33"/>
      <c r="E66" s="31"/>
      <c r="F66" s="188" t="s">
        <v>61</v>
      </c>
      <c r="G66" s="189"/>
      <c r="H66" s="108">
        <v>0</v>
      </c>
      <c r="I66" s="84">
        <f>H66</f>
        <v>0</v>
      </c>
      <c r="J66" s="192" t="s">
        <v>62</v>
      </c>
      <c r="K66" s="193"/>
      <c r="L66" s="159"/>
      <c r="M66" s="108">
        <v>0</v>
      </c>
      <c r="N66" s="38"/>
      <c r="O66" s="33"/>
      <c r="P66" s="33"/>
      <c r="Q66" s="21"/>
    </row>
    <row r="67" spans="1:17" ht="12.75">
      <c r="A67" s="158" t="s">
        <v>63</v>
      </c>
      <c r="B67" s="159"/>
      <c r="C67" s="95">
        <f>M76</f>
        <v>0</v>
      </c>
      <c r="D67" s="33"/>
      <c r="E67" s="31"/>
      <c r="F67" s="188" t="s">
        <v>64</v>
      </c>
      <c r="G67" s="189"/>
      <c r="H67" s="108">
        <v>0</v>
      </c>
      <c r="I67" s="84">
        <f>H67</f>
        <v>0</v>
      </c>
      <c r="J67" s="192" t="s">
        <v>65</v>
      </c>
      <c r="K67" s="190"/>
      <c r="L67" s="191"/>
      <c r="M67" s="108">
        <v>0</v>
      </c>
      <c r="N67" s="33"/>
      <c r="O67" s="33"/>
      <c r="P67" s="33"/>
      <c r="Q67" s="21"/>
    </row>
    <row r="68" spans="1:17" ht="12.75">
      <c r="A68" s="158" t="s">
        <v>66</v>
      </c>
      <c r="B68" s="159"/>
      <c r="C68" s="95">
        <f>MIN((C66+M74),100000)+MIN(M75,20000)</f>
        <v>0</v>
      </c>
      <c r="D68" s="39"/>
      <c r="E68" s="31"/>
      <c r="F68" s="188" t="s">
        <v>67</v>
      </c>
      <c r="G68" s="189"/>
      <c r="H68" s="108">
        <v>0</v>
      </c>
      <c r="I68" s="84">
        <f>H68</f>
        <v>0</v>
      </c>
      <c r="J68" s="192" t="s">
        <v>68</v>
      </c>
      <c r="K68" s="190"/>
      <c r="L68" s="191"/>
      <c r="M68" s="108">
        <v>0</v>
      </c>
      <c r="N68" s="33"/>
      <c r="O68" s="33"/>
      <c r="P68" s="33"/>
      <c r="Q68" s="21"/>
    </row>
    <row r="69" spans="1:17" ht="12.75">
      <c r="A69" s="158" t="s">
        <v>36</v>
      </c>
      <c r="B69" s="159"/>
      <c r="C69" s="95">
        <f>(O47)</f>
        <v>0</v>
      </c>
      <c r="D69" s="33"/>
      <c r="E69" s="31"/>
      <c r="F69" s="188" t="s">
        <v>69</v>
      </c>
      <c r="G69" s="189"/>
      <c r="H69" s="108">
        <v>0</v>
      </c>
      <c r="I69" s="84">
        <f>H69</f>
        <v>0</v>
      </c>
      <c r="J69" s="192" t="s">
        <v>70</v>
      </c>
      <c r="K69" s="190"/>
      <c r="L69" s="191"/>
      <c r="M69" s="108">
        <v>0</v>
      </c>
      <c r="N69" s="33"/>
      <c r="O69" s="33"/>
      <c r="P69" s="33"/>
      <c r="Q69" s="21"/>
    </row>
    <row r="70" spans="1:17" ht="12.75">
      <c r="A70" s="158" t="s">
        <v>71</v>
      </c>
      <c r="B70" s="159"/>
      <c r="C70" s="95">
        <f>MIN(I79,150000)</f>
        <v>0</v>
      </c>
      <c r="D70" s="33"/>
      <c r="E70" s="31"/>
      <c r="F70" s="188" t="s">
        <v>72</v>
      </c>
      <c r="G70" s="189"/>
      <c r="H70" s="108">
        <v>0</v>
      </c>
      <c r="I70" s="84">
        <f>MIN(H70,15000)</f>
        <v>0</v>
      </c>
      <c r="J70" s="192" t="s">
        <v>73</v>
      </c>
      <c r="K70" s="190"/>
      <c r="L70" s="191"/>
      <c r="M70" s="108">
        <v>0</v>
      </c>
      <c r="N70" s="33"/>
      <c r="O70" s="33"/>
      <c r="P70" s="33"/>
      <c r="Q70" s="21"/>
    </row>
    <row r="71" spans="1:17" ht="12.75">
      <c r="A71" s="158" t="s">
        <v>74</v>
      </c>
      <c r="B71" s="159"/>
      <c r="C71" s="95">
        <f>MIN(I78,150000)</f>
        <v>0</v>
      </c>
      <c r="D71" s="33"/>
      <c r="E71" s="31"/>
      <c r="F71" s="188" t="s">
        <v>75</v>
      </c>
      <c r="G71" s="189"/>
      <c r="H71" s="108">
        <v>0</v>
      </c>
      <c r="I71" s="84">
        <f>MIN(H71,50000)</f>
        <v>0</v>
      </c>
      <c r="J71" s="192" t="s">
        <v>76</v>
      </c>
      <c r="K71" s="190"/>
      <c r="L71" s="191"/>
      <c r="M71" s="108">
        <v>0</v>
      </c>
      <c r="N71" s="33"/>
      <c r="O71" s="33"/>
      <c r="P71" s="33"/>
      <c r="Q71" s="21"/>
    </row>
    <row r="72" spans="1:17" ht="12.75">
      <c r="A72" s="158" t="s">
        <v>77</v>
      </c>
      <c r="B72" s="159"/>
      <c r="C72" s="95">
        <f>I76</f>
        <v>0</v>
      </c>
      <c r="D72" s="33"/>
      <c r="E72" s="31"/>
      <c r="F72" s="196"/>
      <c r="G72" s="197"/>
      <c r="H72" s="108">
        <v>0</v>
      </c>
      <c r="I72" s="84">
        <f>H72</f>
        <v>0</v>
      </c>
      <c r="J72" s="192" t="s">
        <v>78</v>
      </c>
      <c r="K72" s="190"/>
      <c r="L72" s="191"/>
      <c r="M72" s="108">
        <v>0</v>
      </c>
      <c r="N72" s="33"/>
      <c r="O72" s="33"/>
      <c r="P72" s="33"/>
      <c r="Q72" s="21"/>
    </row>
    <row r="73" spans="1:17" ht="12.75">
      <c r="A73" s="194" t="s">
        <v>79</v>
      </c>
      <c r="B73" s="195"/>
      <c r="C73" s="96">
        <f>MROUND(IF((C65-C68--C69-C70-C71-C72)&lt;=200000,0,(C65-C68-C69-C70-C71-C72)),10)</f>
        <v>0</v>
      </c>
      <c r="D73" s="33"/>
      <c r="E73" s="31"/>
      <c r="F73" s="196"/>
      <c r="G73" s="197"/>
      <c r="H73" s="108">
        <v>0</v>
      </c>
      <c r="I73" s="84">
        <f>H73</f>
        <v>0</v>
      </c>
      <c r="J73" s="192" t="s">
        <v>80</v>
      </c>
      <c r="K73" s="190"/>
      <c r="L73" s="191"/>
      <c r="M73" s="108">
        <v>0</v>
      </c>
      <c r="N73" s="33"/>
      <c r="O73" s="33"/>
      <c r="P73" s="33"/>
      <c r="Q73" s="21"/>
    </row>
    <row r="74" spans="1:17" ht="12.75">
      <c r="A74" s="156" t="s">
        <v>131</v>
      </c>
      <c r="B74" s="157"/>
      <c r="C74" s="178"/>
      <c r="D74" s="33"/>
      <c r="E74" s="40"/>
      <c r="F74" s="196"/>
      <c r="G74" s="197"/>
      <c r="H74" s="108">
        <v>0</v>
      </c>
      <c r="I74" s="84">
        <f>H74</f>
        <v>0</v>
      </c>
      <c r="J74" s="192" t="s">
        <v>81</v>
      </c>
      <c r="K74" s="193"/>
      <c r="L74" s="159"/>
      <c r="M74" s="99">
        <f>MIN(SUM(M63:M73),100000)</f>
        <v>0</v>
      </c>
      <c r="N74" s="33"/>
      <c r="O74" s="33"/>
      <c r="P74" s="33"/>
      <c r="Q74" s="21"/>
    </row>
    <row r="75" spans="1:17" ht="12.75">
      <c r="A75" s="158" t="s">
        <v>130</v>
      </c>
      <c r="B75" s="159"/>
      <c r="C75" s="101">
        <v>0</v>
      </c>
      <c r="D75" s="33"/>
      <c r="E75" s="31"/>
      <c r="F75" s="198"/>
      <c r="G75" s="198"/>
      <c r="H75" s="108">
        <v>0</v>
      </c>
      <c r="I75" s="84">
        <f>H75</f>
        <v>0</v>
      </c>
      <c r="J75" s="192" t="s">
        <v>82</v>
      </c>
      <c r="K75" s="190"/>
      <c r="L75" s="191"/>
      <c r="M75" s="111">
        <v>0</v>
      </c>
      <c r="N75" s="33"/>
      <c r="O75" s="33"/>
      <c r="P75" s="33"/>
      <c r="Q75" s="21"/>
    </row>
    <row r="76" spans="1:17" ht="12.75">
      <c r="A76" s="158" t="s">
        <v>134</v>
      </c>
      <c r="B76" s="159"/>
      <c r="C76" s="101">
        <f>IF(C73&lt;=200000,0,IF(AND(C73&gt;200000,C73&lt;=500000),ROUND(((C73-200000)*10%),0),30000))</f>
        <v>0</v>
      </c>
      <c r="D76" s="33"/>
      <c r="E76" s="40"/>
      <c r="F76" s="199" t="s">
        <v>14</v>
      </c>
      <c r="G76" s="200"/>
      <c r="H76" s="42">
        <f>SUM(H63:H75)</f>
        <v>0</v>
      </c>
      <c r="I76" s="97">
        <f>SUM(I63:I75)</f>
        <v>0</v>
      </c>
      <c r="J76" s="201" t="s">
        <v>83</v>
      </c>
      <c r="K76" s="202"/>
      <c r="L76" s="203"/>
      <c r="M76" s="98">
        <f>M74+MIN(M75,20000)</f>
        <v>0</v>
      </c>
      <c r="N76" s="39"/>
      <c r="O76" s="33"/>
      <c r="P76" s="33"/>
      <c r="Q76" s="21"/>
    </row>
    <row r="77" spans="1:17" ht="12.75">
      <c r="A77" s="158" t="s">
        <v>133</v>
      </c>
      <c r="B77" s="159"/>
      <c r="C77" s="101">
        <f>IF(C73&lt;=500000,0,IF(AND(C73&gt;500000,C73&lt;=1000000),ROUND(((C73-500000)*20%),0),(100000)))</f>
        <v>0</v>
      </c>
      <c r="D77" s="33"/>
      <c r="E77" s="40"/>
      <c r="F77" s="204" t="s">
        <v>84</v>
      </c>
      <c r="G77" s="205"/>
      <c r="H77" s="205"/>
      <c r="I77" s="206"/>
      <c r="J77" s="204" t="s">
        <v>85</v>
      </c>
      <c r="K77" s="205"/>
      <c r="L77" s="205"/>
      <c r="M77" s="206"/>
      <c r="N77" s="33"/>
      <c r="O77" s="33"/>
      <c r="P77" s="33"/>
      <c r="Q77" s="21"/>
    </row>
    <row r="78" spans="1:17" ht="12.75">
      <c r="A78" s="158" t="s">
        <v>132</v>
      </c>
      <c r="B78" s="159"/>
      <c r="C78" s="101">
        <f>IF(C73&gt;1000000,ROUND(((C73-1000000)*30%),0),(0))</f>
        <v>0</v>
      </c>
      <c r="D78" s="33"/>
      <c r="E78" s="40"/>
      <c r="F78" s="193" t="s">
        <v>86</v>
      </c>
      <c r="G78" s="159"/>
      <c r="H78" s="101">
        <f>O50</f>
        <v>0</v>
      </c>
      <c r="I78" s="84">
        <f>MIN(H78,150000)</f>
        <v>0</v>
      </c>
      <c r="J78" s="192" t="s">
        <v>87</v>
      </c>
      <c r="K78" s="193"/>
      <c r="L78" s="159"/>
      <c r="M78" s="108">
        <v>0</v>
      </c>
      <c r="N78" s="33"/>
      <c r="O78" s="33"/>
      <c r="P78" s="33"/>
      <c r="Q78" s="21"/>
    </row>
    <row r="79" spans="1:17" ht="12.75">
      <c r="A79" s="158" t="s">
        <v>88</v>
      </c>
      <c r="B79" s="159"/>
      <c r="C79" s="101">
        <f>SUM(C76:C78)</f>
        <v>0</v>
      </c>
      <c r="D79" s="33"/>
      <c r="E79" s="40"/>
      <c r="F79" s="193" t="s">
        <v>89</v>
      </c>
      <c r="G79" s="159"/>
      <c r="H79" s="108">
        <v>0</v>
      </c>
      <c r="I79" s="84">
        <f>MIN(H79,150000)</f>
        <v>0</v>
      </c>
      <c r="J79" s="192" t="s">
        <v>90</v>
      </c>
      <c r="K79" s="190"/>
      <c r="L79" s="191"/>
      <c r="M79" s="108">
        <v>0</v>
      </c>
      <c r="N79" s="33"/>
      <c r="O79" s="33"/>
      <c r="P79" s="33"/>
      <c r="Q79" s="21"/>
    </row>
    <row r="80" spans="1:17" ht="12.75">
      <c r="A80" s="158" t="s">
        <v>91</v>
      </c>
      <c r="B80" s="159"/>
      <c r="C80" s="101">
        <f>ROUND((C79*3%),0)</f>
        <v>0</v>
      </c>
      <c r="D80" s="33"/>
      <c r="E80" s="40"/>
      <c r="F80" s="207"/>
      <c r="G80" s="167"/>
      <c r="H80" s="112"/>
      <c r="I80" s="43"/>
      <c r="J80" s="192" t="s">
        <v>29</v>
      </c>
      <c r="K80" s="190"/>
      <c r="L80" s="191"/>
      <c r="M80" s="95">
        <f>IF(O35&lt;=15000,0,(O35-15000))</f>
        <v>0</v>
      </c>
      <c r="N80" s="33"/>
      <c r="O80" s="33"/>
      <c r="P80" s="33"/>
      <c r="Q80" s="21"/>
    </row>
    <row r="81" spans="1:17" ht="12.75">
      <c r="A81" s="153" t="s">
        <v>92</v>
      </c>
      <c r="B81" s="145"/>
      <c r="C81" s="101">
        <f>MROUND(SUM(C79:C80),10)</f>
        <v>0</v>
      </c>
      <c r="D81" s="33"/>
      <c r="E81" s="40"/>
      <c r="F81" s="208"/>
      <c r="G81" s="209"/>
      <c r="H81" s="113"/>
      <c r="I81" s="37"/>
      <c r="J81" s="210"/>
      <c r="K81" s="211"/>
      <c r="L81" s="212"/>
      <c r="M81" s="108">
        <v>0</v>
      </c>
      <c r="N81" s="33"/>
      <c r="O81" s="33"/>
      <c r="P81" s="33"/>
      <c r="Q81" s="21"/>
    </row>
    <row r="82" spans="1:17" ht="12.75">
      <c r="A82" s="158" t="s">
        <v>93</v>
      </c>
      <c r="B82" s="159"/>
      <c r="C82" s="101">
        <f>(O46+H83)</f>
        <v>0</v>
      </c>
      <c r="D82" s="44"/>
      <c r="E82" s="40"/>
      <c r="F82" s="45" t="s">
        <v>94</v>
      </c>
      <c r="G82" s="46"/>
      <c r="H82" s="47"/>
      <c r="I82" s="48"/>
      <c r="J82" s="210"/>
      <c r="K82" s="211"/>
      <c r="L82" s="212"/>
      <c r="M82" s="108">
        <v>0</v>
      </c>
      <c r="N82" s="33"/>
      <c r="O82" s="33"/>
      <c r="P82" s="33"/>
      <c r="Q82" s="21"/>
    </row>
    <row r="83" spans="1:17" ht="15">
      <c r="A83" s="213" t="s">
        <v>109</v>
      </c>
      <c r="B83" s="214"/>
      <c r="C83" s="102">
        <f>IF((C81-C82)&gt;0,(C81-C82),0)</f>
        <v>0</v>
      </c>
      <c r="D83" s="49"/>
      <c r="E83" s="50"/>
      <c r="F83" s="192" t="s">
        <v>49</v>
      </c>
      <c r="G83" s="159"/>
      <c r="H83" s="20">
        <v>0</v>
      </c>
      <c r="I83" s="106"/>
      <c r="J83" s="201" t="s">
        <v>110</v>
      </c>
      <c r="K83" s="202"/>
      <c r="L83" s="203"/>
      <c r="M83" s="42">
        <f>SUM(M78+M79+M81+M82)+IF(M80&lt;=15000,0,(M80-15000))</f>
        <v>0</v>
      </c>
      <c r="N83" s="51"/>
      <c r="O83" s="51"/>
      <c r="P83" s="51"/>
      <c r="Q83" s="52"/>
    </row>
    <row r="84" spans="1:17" ht="13.5">
      <c r="A84" s="83" t="str">
        <f>IF($O$8=0,"PF  RECORD","NPS Record")</f>
        <v>PF  RECORD</v>
      </c>
      <c r="B84" s="80" t="s">
        <v>102</v>
      </c>
      <c r="C84" s="80" t="s">
        <v>103</v>
      </c>
      <c r="D84" s="80" t="s">
        <v>111</v>
      </c>
      <c r="E84" s="80" t="s">
        <v>112</v>
      </c>
      <c r="F84" s="80" t="s">
        <v>113</v>
      </c>
      <c r="G84" s="80" t="s">
        <v>114</v>
      </c>
      <c r="H84" s="80" t="s">
        <v>115</v>
      </c>
      <c r="I84" s="80" t="s">
        <v>116</v>
      </c>
      <c r="J84" s="80" t="s">
        <v>117</v>
      </c>
      <c r="K84" s="80" t="s">
        <v>118</v>
      </c>
      <c r="L84" s="80" t="s">
        <v>119</v>
      </c>
      <c r="M84" s="80" t="s">
        <v>120</v>
      </c>
      <c r="N84" s="80" t="s">
        <v>121</v>
      </c>
      <c r="O84" s="53" t="str">
        <f>IF($O$8=0,"Sub12-13","TIER I")</f>
        <v>Sub12-13</v>
      </c>
      <c r="P84" s="54" t="str">
        <f>IF($O$8=0,"INT.12-13","TIER II")</f>
        <v>INT.12-13</v>
      </c>
      <c r="Q84" s="76" t="str">
        <f>IF($O$8=0,"Bal FEB'13"," ")</f>
        <v>Bal FEB'13</v>
      </c>
    </row>
    <row r="85" spans="1:17" ht="12.75">
      <c r="A85" s="55" t="str">
        <f>IF($O$8=0,"Subscription","TIER I Total")</f>
        <v>Subscription</v>
      </c>
      <c r="B85" s="114">
        <v>0</v>
      </c>
      <c r="C85" s="101">
        <f>IF($O$8=0,(C44+C45),(C44+C42))</f>
        <v>0</v>
      </c>
      <c r="D85" s="101">
        <f>IF($O$8=0,(D44+D45),(D44+D42))</f>
        <v>0</v>
      </c>
      <c r="E85" s="101">
        <f>IF($O$8=0,(E44+E45),(E44+E42))</f>
        <v>0</v>
      </c>
      <c r="F85" s="101">
        <f>IF($O$8=0,(F44+F45),(F44+F42))</f>
        <v>0</v>
      </c>
      <c r="G85" s="101">
        <f>IF($O$8=0,(G44+G45),(G44+G42))</f>
        <v>0</v>
      </c>
      <c r="H85" s="101">
        <f>IF($O$8=0,(H44+H45),(H44+H42))</f>
        <v>0</v>
      </c>
      <c r="I85" s="101">
        <f>IF($O$8=0,(I44+I45),(I44+I42))</f>
        <v>0</v>
      </c>
      <c r="J85" s="101">
        <f>IF($O$8=0,(J44+J45),(J44+J42))</f>
        <v>0</v>
      </c>
      <c r="K85" s="101">
        <f>IF($O$8=0,(K44+K45),(K44+K42))</f>
        <v>0</v>
      </c>
      <c r="L85" s="101">
        <f>IF($O$8=0,(L44+L45),(L44+L42))</f>
        <v>0</v>
      </c>
      <c r="M85" s="101">
        <f>IF($O$8=0,(M44+M45),(M44+M42))</f>
        <v>0</v>
      </c>
      <c r="N85" s="101">
        <f>IF($O$8=0,(N44+N45),(N44+N42))</f>
        <v>0</v>
      </c>
      <c r="O85" s="215" t="str">
        <f>IF($O$8=1,"2012-13"," ")</f>
        <v> </v>
      </c>
      <c r="P85" s="216"/>
      <c r="Q85" s="56"/>
    </row>
    <row r="86" spans="1:17" ht="12.75">
      <c r="A86" s="55">
        <f>IF($O$8=0,"","TIER II")</f>
      </c>
      <c r="B86" s="114">
        <v>0</v>
      </c>
      <c r="C86" s="101" t="str">
        <f>IF($O$8=0," ",(C45))</f>
        <v> </v>
      </c>
      <c r="D86" s="101" t="str">
        <f aca="true" t="shared" si="18" ref="D86:N86">IF($O$8=0," ",(D45))</f>
        <v> </v>
      </c>
      <c r="E86" s="101" t="str">
        <f t="shared" si="18"/>
        <v> </v>
      </c>
      <c r="F86" s="101" t="str">
        <f t="shared" si="18"/>
        <v> </v>
      </c>
      <c r="G86" s="101" t="str">
        <f t="shared" si="18"/>
        <v> </v>
      </c>
      <c r="H86" s="101" t="str">
        <f>IF($O$8=0," ",(H45))</f>
        <v> </v>
      </c>
      <c r="I86" s="101" t="str">
        <f t="shared" si="18"/>
        <v> </v>
      </c>
      <c r="J86" s="101" t="str">
        <f t="shared" si="18"/>
        <v> </v>
      </c>
      <c r="K86" s="101" t="str">
        <f t="shared" si="18"/>
        <v> </v>
      </c>
      <c r="L86" s="101" t="str">
        <f t="shared" si="18"/>
        <v> </v>
      </c>
      <c r="M86" s="101" t="str">
        <f t="shared" si="18"/>
        <v> </v>
      </c>
      <c r="N86" s="101" t="str">
        <f t="shared" si="18"/>
        <v> </v>
      </c>
      <c r="O86" s="41" t="str">
        <f>IF($O$8=1,SUM(C85:N85)," ")</f>
        <v> </v>
      </c>
      <c r="P86" s="41" t="str">
        <f>IF($O$8=1,SUM(C86:N86)," ")</f>
        <v> </v>
      </c>
      <c r="Q86" s="128"/>
    </row>
    <row r="87" spans="1:18" ht="12.75">
      <c r="A87" s="217" t="str">
        <f>IF($O$8=0,"PF Withdrawl"," ")</f>
        <v>PF Withdrawl</v>
      </c>
      <c r="B87" s="218"/>
      <c r="C87" s="114">
        <v>0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219" t="str">
        <f>IF($O$8=1,"Balance-Feb'13"," ")</f>
        <v> </v>
      </c>
      <c r="P87" s="220"/>
      <c r="Q87" s="129"/>
      <c r="R87" s="127"/>
    </row>
    <row r="88" spans="1:17" ht="12.75">
      <c r="A88" s="217" t="str">
        <f>IF(O8=0,"PF Balance","NPS TIER-I Balance")</f>
        <v>PF Balance</v>
      </c>
      <c r="B88" s="218"/>
      <c r="C88" s="101">
        <f>IF($O$8=0,(B85+C85-C87),(B85+C85))</f>
        <v>0</v>
      </c>
      <c r="D88" s="101">
        <f aca="true" t="shared" si="19" ref="D88:N88">IF($O$8=0,(C88+D85-D87),(C88+D85))</f>
        <v>0</v>
      </c>
      <c r="E88" s="101">
        <f t="shared" si="19"/>
        <v>0</v>
      </c>
      <c r="F88" s="101">
        <f t="shared" si="19"/>
        <v>0</v>
      </c>
      <c r="G88" s="101">
        <f t="shared" si="19"/>
        <v>0</v>
      </c>
      <c r="H88" s="101">
        <f t="shared" si="19"/>
        <v>0</v>
      </c>
      <c r="I88" s="101">
        <f t="shared" si="19"/>
        <v>0</v>
      </c>
      <c r="J88" s="101">
        <f t="shared" si="19"/>
        <v>0</v>
      </c>
      <c r="K88" s="101">
        <f t="shared" si="19"/>
        <v>0</v>
      </c>
      <c r="L88" s="101">
        <f t="shared" si="19"/>
        <v>0</v>
      </c>
      <c r="M88" s="101">
        <f t="shared" si="19"/>
        <v>0</v>
      </c>
      <c r="N88" s="101">
        <f t="shared" si="19"/>
        <v>0</v>
      </c>
      <c r="O88" s="101">
        <f>IF($O$8=1,SUM(O86+B85),SUM(C85:N85))</f>
        <v>0</v>
      </c>
      <c r="P88" s="101">
        <f>IF($O$8=1,SUM(B86+P86),SUM(C88:N88)/12*8.6%)</f>
        <v>0</v>
      </c>
      <c r="Q88" s="104">
        <f>IF($O$8=0,(B85+O88-SUM(C87:N87)+P88)," ")</f>
        <v>0</v>
      </c>
    </row>
    <row r="89" spans="1:17" ht="12.75">
      <c r="A89" s="222" t="s">
        <v>127</v>
      </c>
      <c r="B89" s="223"/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103"/>
    </row>
    <row r="90" spans="1:17" ht="12.75">
      <c r="A90" s="60"/>
      <c r="B90" s="80" t="s">
        <v>104</v>
      </c>
      <c r="C90" s="80" t="s">
        <v>111</v>
      </c>
      <c r="D90" s="80" t="s">
        <v>112</v>
      </c>
      <c r="E90" s="80" t="s">
        <v>113</v>
      </c>
      <c r="F90" s="80" t="s">
        <v>114</v>
      </c>
      <c r="G90" s="80" t="s">
        <v>115</v>
      </c>
      <c r="H90" s="80" t="s">
        <v>116</v>
      </c>
      <c r="I90" s="80" t="s">
        <v>117</v>
      </c>
      <c r="J90" s="80" t="s">
        <v>118</v>
      </c>
      <c r="K90" s="80" t="s">
        <v>119</v>
      </c>
      <c r="L90" s="80" t="s">
        <v>120</v>
      </c>
      <c r="M90" s="80" t="s">
        <v>121</v>
      </c>
      <c r="N90" s="80" t="s">
        <v>122</v>
      </c>
      <c r="O90" s="53" t="s">
        <v>123</v>
      </c>
      <c r="P90" s="61" t="s">
        <v>124</v>
      </c>
      <c r="Q90" s="105" t="s">
        <v>125</v>
      </c>
    </row>
    <row r="91" spans="1:17" ht="12.75">
      <c r="A91" s="55" t="s">
        <v>95</v>
      </c>
      <c r="B91" s="115">
        <v>0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62"/>
      <c r="P91" s="63"/>
      <c r="Q91" s="64"/>
    </row>
    <row r="92" spans="1:17" ht="12.75">
      <c r="A92" s="217" t="s">
        <v>96</v>
      </c>
      <c r="B92" s="218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57"/>
      <c r="P92" s="57"/>
      <c r="Q92" s="65"/>
    </row>
    <row r="93" spans="1:17" ht="12.75">
      <c r="A93" s="217" t="s">
        <v>97</v>
      </c>
      <c r="B93" s="218"/>
      <c r="C93" s="95">
        <f>(B91+C91-C92)</f>
        <v>0</v>
      </c>
      <c r="D93" s="95">
        <f>(C93+D91-D92)</f>
        <v>0</v>
      </c>
      <c r="E93" s="95">
        <f aca="true" t="shared" si="20" ref="E93:N93">(D93+E91-E92)</f>
        <v>0</v>
      </c>
      <c r="F93" s="95">
        <f t="shared" si="20"/>
        <v>0</v>
      </c>
      <c r="G93" s="95">
        <f t="shared" si="20"/>
        <v>0</v>
      </c>
      <c r="H93" s="95">
        <f t="shared" si="20"/>
        <v>0</v>
      </c>
      <c r="I93" s="95">
        <f t="shared" si="20"/>
        <v>0</v>
      </c>
      <c r="J93" s="95">
        <f t="shared" si="20"/>
        <v>0</v>
      </c>
      <c r="K93" s="95">
        <f t="shared" si="20"/>
        <v>0</v>
      </c>
      <c r="L93" s="95">
        <f t="shared" si="20"/>
        <v>0</v>
      </c>
      <c r="M93" s="95">
        <f t="shared" si="20"/>
        <v>0</v>
      </c>
      <c r="N93" s="95">
        <f t="shared" si="20"/>
        <v>0</v>
      </c>
      <c r="O93" s="101">
        <f>SUM(C91:N91)</f>
        <v>0</v>
      </c>
      <c r="P93" s="91">
        <f>SUM(C93:N93)/12*8.8%</f>
        <v>0</v>
      </c>
      <c r="Q93" s="98">
        <f>(N93+P93)</f>
        <v>0</v>
      </c>
    </row>
    <row r="94" spans="1:17" ht="12.75">
      <c r="A94" s="66"/>
      <c r="B94" s="67"/>
      <c r="C94" s="68"/>
      <c r="D94" s="68"/>
      <c r="E94" s="68"/>
      <c r="F94" s="68"/>
      <c r="G94" s="68"/>
      <c r="H94" s="69"/>
      <c r="I94" s="68"/>
      <c r="J94" s="68"/>
      <c r="K94" s="68"/>
      <c r="L94" s="68"/>
      <c r="M94" s="68"/>
      <c r="N94" s="68"/>
      <c r="O94" s="68"/>
      <c r="P94" s="70"/>
      <c r="Q94" s="71"/>
    </row>
    <row r="95" spans="1:19" ht="15">
      <c r="A95" s="19"/>
      <c r="B95" s="8"/>
      <c r="C95" s="8"/>
      <c r="D95" s="8"/>
      <c r="E95" s="8"/>
      <c r="F95" s="8"/>
      <c r="G95" s="8"/>
      <c r="H95" s="8"/>
      <c r="I95" s="224" t="s">
        <v>98</v>
      </c>
      <c r="J95" s="224"/>
      <c r="K95" s="224"/>
      <c r="L95" s="224"/>
      <c r="M95" s="224"/>
      <c r="N95" s="224"/>
      <c r="O95" s="224"/>
      <c r="P95" s="224"/>
      <c r="Q95" s="225"/>
      <c r="S95" s="126"/>
    </row>
    <row r="96" spans="1:17" ht="13.5" thickBot="1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4" t="s">
        <v>99</v>
      </c>
      <c r="L96" s="74"/>
      <c r="M96" s="221" t="s">
        <v>100</v>
      </c>
      <c r="N96" s="221"/>
      <c r="O96" s="221"/>
      <c r="P96" s="73"/>
      <c r="Q96" s="75"/>
    </row>
  </sheetData>
  <sheetProtection password="E9FD" sheet="1" objects="1" scenarios="1"/>
  <protectedRanges>
    <protectedRange password="CC61" sqref="C62:C67 C69:C73 D63" name="Range1"/>
  </protectedRanges>
  <mergeCells count="140">
    <mergeCell ref="A58:B58"/>
    <mergeCell ref="A30:B30"/>
    <mergeCell ref="A42:B42"/>
    <mergeCell ref="M96:O96"/>
    <mergeCell ref="A89:B89"/>
    <mergeCell ref="A92:B92"/>
    <mergeCell ref="A93:B93"/>
    <mergeCell ref="I95:Q95"/>
    <mergeCell ref="O85:P85"/>
    <mergeCell ref="A87:B87"/>
    <mergeCell ref="O87:P87"/>
    <mergeCell ref="A88:B88"/>
    <mergeCell ref="A82:B82"/>
    <mergeCell ref="J82:L82"/>
    <mergeCell ref="A83:B83"/>
    <mergeCell ref="F83:G83"/>
    <mergeCell ref="J83:L83"/>
    <mergeCell ref="A80:B80"/>
    <mergeCell ref="F80:G80"/>
    <mergeCell ref="J80:L80"/>
    <mergeCell ref="A81:B81"/>
    <mergeCell ref="F81:G81"/>
    <mergeCell ref="J81:L81"/>
    <mergeCell ref="A78:B78"/>
    <mergeCell ref="F78:G78"/>
    <mergeCell ref="J78:L78"/>
    <mergeCell ref="A79:B79"/>
    <mergeCell ref="F79:G79"/>
    <mergeCell ref="J79:L79"/>
    <mergeCell ref="A76:B76"/>
    <mergeCell ref="F76:G76"/>
    <mergeCell ref="J76:L76"/>
    <mergeCell ref="A77:B77"/>
    <mergeCell ref="F77:I77"/>
    <mergeCell ref="J77:M77"/>
    <mergeCell ref="A74:C74"/>
    <mergeCell ref="F74:G74"/>
    <mergeCell ref="J74:L74"/>
    <mergeCell ref="A75:B75"/>
    <mergeCell ref="F75:G75"/>
    <mergeCell ref="J75:L75"/>
    <mergeCell ref="A72:B72"/>
    <mergeCell ref="F72:G72"/>
    <mergeCell ref="J72:L72"/>
    <mergeCell ref="A73:B73"/>
    <mergeCell ref="F73:G73"/>
    <mergeCell ref="J73:L73"/>
    <mergeCell ref="A70:B70"/>
    <mergeCell ref="F70:G70"/>
    <mergeCell ref="J70:L70"/>
    <mergeCell ref="A71:B71"/>
    <mergeCell ref="F71:G71"/>
    <mergeCell ref="J71:L71"/>
    <mergeCell ref="A68:B68"/>
    <mergeCell ref="F68:G68"/>
    <mergeCell ref="J68:L68"/>
    <mergeCell ref="A69:B69"/>
    <mergeCell ref="F69:G69"/>
    <mergeCell ref="J69:L69"/>
    <mergeCell ref="A66:B66"/>
    <mergeCell ref="F66:G66"/>
    <mergeCell ref="J66:L66"/>
    <mergeCell ref="A67:B67"/>
    <mergeCell ref="F67:G67"/>
    <mergeCell ref="J67:L67"/>
    <mergeCell ref="A64:B64"/>
    <mergeCell ref="F64:G64"/>
    <mergeCell ref="J64:L64"/>
    <mergeCell ref="A65:B65"/>
    <mergeCell ref="F65:G65"/>
    <mergeCell ref="J65:L65"/>
    <mergeCell ref="A62:B62"/>
    <mergeCell ref="F62:G62"/>
    <mergeCell ref="J62:L62"/>
    <mergeCell ref="A63:B63"/>
    <mergeCell ref="F63:G63"/>
    <mergeCell ref="J63:L63"/>
    <mergeCell ref="A59:B59"/>
    <mergeCell ref="A60:B60"/>
    <mergeCell ref="A61:C61"/>
    <mergeCell ref="F61:M61"/>
    <mergeCell ref="A55:B55"/>
    <mergeCell ref="A56:B56"/>
    <mergeCell ref="A57:B57"/>
    <mergeCell ref="A51:B51"/>
    <mergeCell ref="A52:B52"/>
    <mergeCell ref="A53:B53"/>
    <mergeCell ref="A54:B54"/>
    <mergeCell ref="A47:B47"/>
    <mergeCell ref="A48:B48"/>
    <mergeCell ref="A49:B49"/>
    <mergeCell ref="A50:B50"/>
    <mergeCell ref="A43:C43"/>
    <mergeCell ref="A44:B44"/>
    <mergeCell ref="A45:B45"/>
    <mergeCell ref="A46:B46"/>
    <mergeCell ref="A39:B39"/>
    <mergeCell ref="A40:B40"/>
    <mergeCell ref="A41:B41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2:E12"/>
    <mergeCell ref="F12:N12"/>
    <mergeCell ref="A13:B13"/>
    <mergeCell ref="A14:B14"/>
    <mergeCell ref="A9:N9"/>
    <mergeCell ref="A10:N10"/>
    <mergeCell ref="A11:E11"/>
    <mergeCell ref="F11:N11"/>
    <mergeCell ref="B6:E6"/>
    <mergeCell ref="J6:O6"/>
    <mergeCell ref="A8:E8"/>
    <mergeCell ref="F8:H8"/>
    <mergeCell ref="A1:Q1"/>
    <mergeCell ref="A2:H2"/>
    <mergeCell ref="A3:H3"/>
    <mergeCell ref="F5:G5"/>
    <mergeCell ref="H5:I5"/>
    <mergeCell ref="B5:E5"/>
  </mergeCells>
  <conditionalFormatting sqref="C83">
    <cfRule type="cellIs" priority="1" dxfId="0" operator="lessThan" stopIfTrue="1">
      <formula>0</formula>
    </cfRule>
  </conditionalFormatting>
  <dataValidations count="2">
    <dataValidation type="whole" allowBlank="1" showInputMessage="1" showErrorMessage="1" sqref="O12">
      <formula1>1</formula1>
      <formula2>2</formula2>
    </dataValidation>
    <dataValidation type="whole" allowBlank="1" showInputMessage="1" showErrorMessage="1" sqref="P12">
      <formula1>0</formula1>
      <formula2>3</formula2>
    </dataValidation>
  </dataValidations>
  <printOptions horizontalCentered="1" verticalCentered="1"/>
  <pageMargins left="0.25" right="0" top="0.25" bottom="0.5" header="0.2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Income-Tax12-13</dc:title>
  <dc:subject>Salary-Tax</dc:subject>
  <dc:creator>Lalit Khandelwal</dc:creator>
  <cp:keywords>Salary tax</cp:keywords>
  <dc:description>Tax caculations for central govt.employees for 2012-13.</dc:description>
  <cp:lastModifiedBy>Lalit</cp:lastModifiedBy>
  <cp:lastPrinted>2012-04-01T11:15:07Z</cp:lastPrinted>
  <dcterms:created xsi:type="dcterms:W3CDTF">1996-10-14T23:33:28Z</dcterms:created>
  <dcterms:modified xsi:type="dcterms:W3CDTF">2012-04-01T11:21:08Z</dcterms:modified>
  <cp:category/>
  <cp:version/>
  <cp:contentType/>
  <cp:contentStatus/>
</cp:coreProperties>
</file>